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Budget" sheetId="1" r:id="rId1"/>
    <sheet name="2. Sources of Funding" sheetId="2" r:id="rId2"/>
    <sheet name="Sheet1" sheetId="3" r:id="rId3"/>
  </sheets>
  <definedNames>
    <definedName name="_xlnm.Print_Area" localSheetId="0">'1. Budget'!$A$1:$G$128</definedName>
    <definedName name="_xlnm.Print_Area" localSheetId="1">'2. Sources of Funding'!$A$1:$C$24</definedName>
    <definedName name="_xlnm.Print_Titles" localSheetId="0">'1. Budget'!$13:$16</definedName>
    <definedName name="Z_913EDF2B_D796_4451_9DB9_A902841B443B_.wvu.PrintArea" localSheetId="0" hidden="1">'1. Budget'!$A$14:$I$129</definedName>
    <definedName name="Z_F1BDF3DC_3A5A_4306_8C8E_CE2E405ED839_.wvu.PrintArea" localSheetId="0" hidden="1">'1. Budget'!$A$14:$I$129</definedName>
  </definedNames>
  <calcPr fullCalcOnLoad="1"/>
</workbook>
</file>

<file path=xl/sharedStrings.xml><?xml version="1.0" encoding="utf-8"?>
<sst xmlns="http://schemas.openxmlformats.org/spreadsheetml/2006/main" count="237" uniqueCount="162">
  <si>
    <t>Expenses</t>
  </si>
  <si>
    <t>Unit</t>
  </si>
  <si>
    <t># of units</t>
  </si>
  <si>
    <t>Per month</t>
  </si>
  <si>
    <t>Per diem</t>
  </si>
  <si>
    <t>Per flight</t>
  </si>
  <si>
    <t>3.1 Purchase or rent of vehicles</t>
  </si>
  <si>
    <t>Per vehicle</t>
  </si>
  <si>
    <t>Subtotal Equipment and supplies</t>
  </si>
  <si>
    <t>4.1 Vehicle costs</t>
  </si>
  <si>
    <t>Subtotal Travel</t>
  </si>
  <si>
    <t>Amount</t>
  </si>
  <si>
    <t>Percentage</t>
  </si>
  <si>
    <t>%</t>
  </si>
  <si>
    <t>Contributions from other organisations:</t>
  </si>
  <si>
    <t>OVERALL TOTAL</t>
  </si>
  <si>
    <t>of total</t>
  </si>
  <si>
    <t>5.4 Evaluation costs</t>
  </si>
  <si>
    <t>5.5 Translation, interpreters</t>
  </si>
  <si>
    <t>5.6 Financial services (bank guarantee costs etc.)</t>
  </si>
  <si>
    <t>Subtotal Other costs, services</t>
  </si>
  <si>
    <t>Subtotal Other</t>
  </si>
  <si>
    <t>All Years</t>
  </si>
  <si>
    <t>3.2 Furniture, computer equipment</t>
  </si>
  <si>
    <t>4.2 Office rent</t>
  </si>
  <si>
    <t>TOTAL CONTRIBUTIONS</t>
  </si>
  <si>
    <t xml:space="preserve">   1.3.3 Seminar/conference participants</t>
  </si>
  <si>
    <r>
      <t>1.3 Per diems for missions/travel</t>
    </r>
    <r>
      <rPr>
        <vertAlign val="superscript"/>
        <sz val="10"/>
        <rFont val="Arial"/>
        <family val="2"/>
      </rPr>
      <t>5</t>
    </r>
  </si>
  <si>
    <r>
      <t>2. Travel</t>
    </r>
    <r>
      <rPr>
        <b/>
        <vertAlign val="superscript"/>
        <sz val="10"/>
        <rFont val="Arial"/>
        <family val="2"/>
      </rPr>
      <t>6</t>
    </r>
  </si>
  <si>
    <r>
      <t>3. Equipment and supplies</t>
    </r>
    <r>
      <rPr>
        <b/>
        <vertAlign val="superscript"/>
        <sz val="10"/>
        <rFont val="Arial"/>
        <family val="2"/>
      </rPr>
      <t>7</t>
    </r>
  </si>
  <si>
    <t>6. Other</t>
  </si>
  <si>
    <t xml:space="preserve">   1.3.1 Abroad (staff assigned to the Action)</t>
  </si>
  <si>
    <t xml:space="preserve">   1.3.2 Local (staff assigned to the Action)</t>
  </si>
  <si>
    <t>3.4 Spare parts/equipment for machines, tools</t>
  </si>
  <si>
    <t>3.5 Other (please specify)</t>
  </si>
  <si>
    <t>Subtotal Local office</t>
  </si>
  <si>
    <t>4. Local office</t>
  </si>
  <si>
    <t>3.3 Machines, tools…</t>
  </si>
  <si>
    <r>
      <t>5. Other costs, services</t>
    </r>
    <r>
      <rPr>
        <b/>
        <vertAlign val="superscript"/>
        <sz val="10"/>
        <rFont val="Arial"/>
        <family val="2"/>
      </rPr>
      <t>8</t>
    </r>
  </si>
  <si>
    <r>
      <t>5.1 Publications</t>
    </r>
    <r>
      <rPr>
        <vertAlign val="superscript"/>
        <sz val="10"/>
        <rFont val="Arial"/>
        <family val="2"/>
      </rPr>
      <t>9</t>
    </r>
  </si>
  <si>
    <r>
      <t>5.2 Studies, research</t>
    </r>
    <r>
      <rPr>
        <vertAlign val="superscript"/>
        <sz val="10"/>
        <rFont val="Arial"/>
        <family val="2"/>
      </rPr>
      <t>9</t>
    </r>
  </si>
  <si>
    <r>
      <t>5.7 Costs of conferences/seminars</t>
    </r>
    <r>
      <rPr>
        <vertAlign val="superscript"/>
        <sz val="10"/>
        <rFont val="Arial"/>
        <family val="2"/>
      </rPr>
      <t>9</t>
    </r>
  </si>
  <si>
    <t>7.  Subtotal direct eligible costs of the Action (1-6)</t>
  </si>
  <si>
    <t>9. Total direct eligible costs of the Action (7+ 8)</t>
  </si>
  <si>
    <t>11. Total eligible costs (9+10)</t>
  </si>
  <si>
    <t xml:space="preserve">Direct revenue from the Action </t>
  </si>
  <si>
    <t>Sources of funding</t>
  </si>
  <si>
    <t>5.3 Expenditure verification</t>
  </si>
  <si>
    <r>
      <t>1.1 Salaries (gross salaries including social security charges and other related costs, local staff)</t>
    </r>
    <r>
      <rPr>
        <vertAlign val="superscript"/>
        <sz val="10"/>
        <rFont val="Arial"/>
        <family val="2"/>
      </rPr>
      <t>4</t>
    </r>
  </si>
  <si>
    <t>Costs</t>
  </si>
  <si>
    <r>
      <t>Costs 
(in EUR)</t>
    </r>
    <r>
      <rPr>
        <b/>
        <vertAlign val="superscript"/>
        <sz val="10"/>
        <rFont val="Arial"/>
        <family val="2"/>
      </rPr>
      <t>3</t>
    </r>
  </si>
  <si>
    <t>2.1 International travel (incl. visa and airport charges)</t>
  </si>
  <si>
    <t>1.2 Salaries (gross salaries including social security
charges and other related costs, expat/international staff)</t>
  </si>
  <si>
    <t xml:space="preserve">   1.2.1 Managers (please specify the functions)</t>
  </si>
  <si>
    <t xml:space="preserve">   1.1.1 Technical (please, specify the functions)</t>
  </si>
  <si>
    <t xml:space="preserve">   1.2.2 Support staff (please, specify the functions)</t>
  </si>
  <si>
    <t xml:space="preserve">   1.1.2 Administrative / support staff (please, specify the functions)</t>
  </si>
  <si>
    <t>Subtotal Human resources</t>
  </si>
  <si>
    <r>
      <t>5.8 Visibility actions</t>
    </r>
    <r>
      <rPr>
        <vertAlign val="superscript"/>
        <sz val="10"/>
        <rFont val="Arial"/>
        <family val="2"/>
      </rPr>
      <t>10</t>
    </r>
  </si>
  <si>
    <t>2.3 Other (medical check, medication, travel insurance...)</t>
  </si>
  <si>
    <r>
      <t>Unit rate 
(in EUR)</t>
    </r>
    <r>
      <rPr>
        <b/>
        <vertAlign val="superscript"/>
        <sz val="10"/>
        <rFont val="Arial"/>
        <family val="2"/>
      </rPr>
      <t>3</t>
    </r>
  </si>
  <si>
    <t>MFA contribution sought in this application</t>
  </si>
  <si>
    <t>Sources of Funding</t>
  </si>
  <si>
    <t>Name:</t>
  </si>
  <si>
    <t>Conditions:</t>
  </si>
  <si>
    <r>
      <t>EUR</t>
    </r>
    <r>
      <rPr>
        <b/>
        <vertAlign val="superscript"/>
        <sz val="10"/>
        <rFont val="Arial"/>
        <family val="2"/>
      </rPr>
      <t>3</t>
    </r>
  </si>
  <si>
    <r>
      <t>8. Provision for contingency reserve</t>
    </r>
    <r>
      <rPr>
        <sz val="10"/>
        <rFont val="Arial"/>
        <family val="2"/>
      </rPr>
      <t xml:space="preserve"> (maximum 5% of 7, subtotal of direct eligible costs of the Action) </t>
    </r>
  </si>
  <si>
    <r>
      <t>10. Administrative costs</t>
    </r>
    <r>
      <rPr>
        <sz val="10"/>
        <rFont val="Arial"/>
        <family val="2"/>
      </rPr>
      <t xml:space="preserve"> (maximum 7% of 9, total direct eligible costs of the Action)</t>
    </r>
  </si>
  <si>
    <r>
      <t>Annex 6b - Budget for the Action</t>
    </r>
    <r>
      <rPr>
        <b/>
        <vertAlign val="superscript"/>
        <sz val="12"/>
        <rFont val="Arial"/>
        <family val="2"/>
      </rPr>
      <t>1</t>
    </r>
  </si>
  <si>
    <r>
      <t>Annex 6b - Budget for the Action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(cont.)</t>
    </r>
  </si>
  <si>
    <t>Contribution(s) from EC or other EU Member States</t>
  </si>
  <si>
    <t>(in kind contribution, if allowed by the guidelines)</t>
  </si>
  <si>
    <t>Action title: Improving the availability and reliability of regional statistics for Moldova’s decision-makers</t>
  </si>
  <si>
    <t>Estimated start date:</t>
  </si>
  <si>
    <t>Estimated end date:</t>
  </si>
  <si>
    <t>Impelementing partner:</t>
  </si>
  <si>
    <t>UNDP-Moldova</t>
  </si>
  <si>
    <t>Beneficiary:</t>
  </si>
  <si>
    <t>National Bureau of Statistics of the Republic of Moldova</t>
  </si>
  <si>
    <t>Republic of Moldova</t>
  </si>
  <si>
    <t xml:space="preserve">Partner country (project site): </t>
  </si>
  <si>
    <t>Contracting authority:</t>
  </si>
  <si>
    <t>MFA Romania</t>
  </si>
  <si>
    <t>Implementation partner:</t>
  </si>
  <si>
    <t>National Institute of Statistics of Romania</t>
  </si>
  <si>
    <t>euro</t>
  </si>
  <si>
    <t>USD</t>
  </si>
  <si>
    <t>lumpsum</t>
  </si>
  <si>
    <t>IT spare parts and supplies</t>
  </si>
  <si>
    <t>Vehicle - rent</t>
  </si>
  <si>
    <t>Premises separators, household/cleaning equipment</t>
  </si>
  <si>
    <t>Lump sum</t>
  </si>
  <si>
    <t>Mobile phones for staff/experts/consultants</t>
  </si>
  <si>
    <t>Per unit</t>
  </si>
  <si>
    <t>Security equipment/upgrade/metal grid/windows anti-blast film</t>
  </si>
  <si>
    <t>Copying, scanning and printing equipment</t>
  </si>
  <si>
    <t>Computers and IT equipment</t>
  </si>
  <si>
    <t>Network equipment</t>
  </si>
  <si>
    <t>Office furniture</t>
  </si>
  <si>
    <t>Vehicle - purchase</t>
  </si>
  <si>
    <t>4.1 Vehicle costs (1x vehicle-lubricants, filters, fuel, insurance, winter tyres, medical kit, security equipment)</t>
  </si>
  <si>
    <t>issue</t>
  </si>
  <si>
    <t>Seminars, on-job trainings, working meetings, in Chisinau and in the field</t>
  </si>
  <si>
    <t>Communication services</t>
  </si>
  <si>
    <t>Visibility actions and measures</t>
  </si>
  <si>
    <t xml:space="preserve">Services related to the action:  </t>
  </si>
  <si>
    <t>Applicant's financial contribution  (UNDP Moldova)</t>
  </si>
  <si>
    <t>UNORE for September 2012 (UN Official Rate of Exchange): 1EUR=0.797$</t>
  </si>
  <si>
    <t>September 2012</t>
  </si>
  <si>
    <t>Per month, 12 months</t>
  </si>
  <si>
    <t xml:space="preserve"> - Bucharest (3 pers.)</t>
  </si>
  <si>
    <t xml:space="preserve"> - Chisinau-Riga-Chisinau (3 pers.)</t>
  </si>
  <si>
    <t xml:space="preserve"> - Chisinau-Bucharest-Chisinau (3 pers.)</t>
  </si>
  <si>
    <t xml:space="preserve"> - Chisinau (3 pers. - INS staff)</t>
  </si>
  <si>
    <t xml:space="preserve"> - Bucharest (4 pers.)</t>
  </si>
  <si>
    <t xml:space="preserve"> - Bucharest-Chisinau-Bucharest (3 pers.)</t>
  </si>
  <si>
    <t>1.1.4.</t>
  </si>
  <si>
    <t>1.1.3.</t>
  </si>
  <si>
    <t>1.1.3</t>
  </si>
  <si>
    <t>1.2.3.</t>
  </si>
  <si>
    <t xml:space="preserve"> - Chisinau (2 pers. - INS staff)</t>
  </si>
  <si>
    <t xml:space="preserve"> - Bucharest-Chisinau-Bucharest (2 pers.)</t>
  </si>
  <si>
    <t>1.3.1.</t>
  </si>
  <si>
    <t>1.3.2.</t>
  </si>
  <si>
    <t xml:space="preserve"> - Luxembourg (5 pers., incl.1 INS staff)</t>
  </si>
  <si>
    <t xml:space="preserve"> - Chisinau-Luxembourg-Chisinau (4 pers.) + Bucharest-Luxembourg-Bucharest (1 pers.)</t>
  </si>
  <si>
    <t>2.1.1.</t>
  </si>
  <si>
    <t xml:space="preserve"> - Chisinau-Bucharest-Chisinau (4 pers.)</t>
  </si>
  <si>
    <t>2.2.1.</t>
  </si>
  <si>
    <t>2.2.2.</t>
  </si>
  <si>
    <t>- UK, tentatively (2 pers.)</t>
  </si>
  <si>
    <t xml:space="preserve"> - Chisinau-London-Chisinau (2 pers.)</t>
  </si>
  <si>
    <t>3.1.2.</t>
  </si>
  <si>
    <t>4.3 Consumables - office supplies, lumpsum</t>
  </si>
  <si>
    <t>5.9 Other (please specify)
Protocol costs</t>
  </si>
  <si>
    <t>Regional Statistics publication for the use of RDAs and others in a user-fiendly format</t>
  </si>
  <si>
    <t>- Project Manager, 56%
(incl. 50 EUR/month medical insurance)</t>
  </si>
  <si>
    <t>- Finance/Administrative Officer, 56%  
(incl. 50 EUR/month medical insurance)</t>
  </si>
  <si>
    <t xml:space="preserve">55% - 2013 </t>
  </si>
  <si>
    <t xml:space="preserve">55%-2013 </t>
  </si>
  <si>
    <t xml:space="preserve"> - National consultant OR DCT (Direct Cash Transfer) to NBS - activ.1.2.1. &amp; 1.2.2.</t>
  </si>
  <si>
    <t>lump / pers.</t>
  </si>
  <si>
    <t>Activ. In AWP</t>
  </si>
  <si>
    <t>1.2.1., 1.2.2</t>
  </si>
  <si>
    <t>1.3.1</t>
  </si>
  <si>
    <t>2.2.2</t>
  </si>
  <si>
    <t>3.1.1, 3.2</t>
  </si>
  <si>
    <t>4.4 Other services (tel/fax, internet, etc.)</t>
  </si>
  <si>
    <r>
      <t xml:space="preserve">All Years - </t>
    </r>
    <r>
      <rPr>
        <b/>
        <sz val="10"/>
        <color indexed="18"/>
        <rFont val="Arial"/>
        <family val="2"/>
      </rPr>
      <t>2012, 3rd quarter -- 2013</t>
    </r>
  </si>
  <si>
    <t xml:space="preserve"> - Bucharest-Riga-Bucharest (1 pers.)</t>
  </si>
  <si>
    <t>- Latvia, tentatively (3 pers.+1 pers. INS)</t>
  </si>
  <si>
    <r>
      <t>2.2 Local transportation</t>
    </r>
    <r>
      <rPr>
        <b/>
        <sz val="10"/>
        <color indexed="18"/>
        <rFont val="Arial"/>
        <family val="2"/>
      </rPr>
      <t xml:space="preserve"> </t>
    </r>
  </si>
  <si>
    <t xml:space="preserve"> - National &amp; international consultants - activ.1.1.1, 1.1.2, 1.1.4, 1.1.5</t>
  </si>
  <si>
    <t>1.1.1, 1.1.2, 1.1.4, 1.1.5</t>
  </si>
  <si>
    <t xml:space="preserve"> - National consultant (short term assignments) - activ.1.2.3</t>
  </si>
  <si>
    <t xml:space="preserve"> - National &amp;/ international consultant - activ.1.3.1.</t>
  </si>
  <si>
    <t xml:space="preserve"> - National &amp; international consultants - activ.2.2.2.</t>
  </si>
  <si>
    <t>' - National &amp; international consultants - activ.3.1.1. &amp; 3.2.</t>
  </si>
  <si>
    <t>December 2013</t>
  </si>
  <si>
    <t>November 2012</t>
  </si>
  <si>
    <t xml:space="preserve">traininguri ADR </t>
  </si>
  <si>
    <t>vizite INS/BNS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</si>
</sst>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"/>
    <numFmt numFmtId="215" formatCode="#,##0.0"/>
    <numFmt numFmtId="216" formatCode="0.0%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00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33" borderId="17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wrapText="1"/>
    </xf>
    <xf numFmtId="0" fontId="1" fillId="33" borderId="28" xfId="0" applyFont="1" applyFill="1" applyBorder="1" applyAlignment="1">
      <alignment wrapText="1"/>
    </xf>
    <xf numFmtId="0" fontId="1" fillId="33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26" xfId="0" applyNumberFormat="1" applyFont="1" applyBorder="1" applyAlignment="1">
      <alignment/>
    </xf>
    <xf numFmtId="3" fontId="0" fillId="33" borderId="2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3" fontId="0" fillId="33" borderId="30" xfId="0" applyNumberFormat="1" applyFill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 indent="2"/>
    </xf>
    <xf numFmtId="0" fontId="0" fillId="0" borderId="32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 indent="2"/>
    </xf>
    <xf numFmtId="0" fontId="0" fillId="0" borderId="33" xfId="0" applyFont="1" applyBorder="1" applyAlignment="1">
      <alignment wrapText="1"/>
    </xf>
    <xf numFmtId="0" fontId="0" fillId="0" borderId="30" xfId="0" applyBorder="1" applyAlignment="1">
      <alignment horizontal="center"/>
    </xf>
    <xf numFmtId="3" fontId="0" fillId="0" borderId="30" xfId="0" applyNumberForma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3" fontId="0" fillId="33" borderId="3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9" fontId="0" fillId="33" borderId="16" xfId="59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9" fontId="1" fillId="33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49" fontId="0" fillId="0" borderId="0" xfId="0" applyNumberFormat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30" xfId="0" applyNumberFormat="1" applyFon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49" fontId="0" fillId="0" borderId="30" xfId="0" applyNumberForma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13" fillId="0" borderId="14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1" xfId="0" applyFont="1" applyBorder="1" applyAlignment="1" quotePrefix="1">
      <alignment horizontal="left" vertical="top" wrapText="1" indent="2"/>
    </xf>
    <xf numFmtId="0" fontId="20" fillId="0" borderId="10" xfId="0" applyFont="1" applyBorder="1" applyAlignment="1">
      <alignment horizontal="center" wrapText="1"/>
    </xf>
    <xf numFmtId="9" fontId="20" fillId="0" borderId="10" xfId="59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20" fillId="33" borderId="10" xfId="0" applyNumberFormat="1" applyFont="1" applyFill="1" applyBorder="1" applyAlignment="1">
      <alignment/>
    </xf>
    <xf numFmtId="0" fontId="20" fillId="0" borderId="11" xfId="0" applyFont="1" applyBorder="1" applyAlignment="1" quotePrefix="1">
      <alignment horizontal="left" wrapText="1" indent="2"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horizontal="left" wrapText="1"/>
    </xf>
    <xf numFmtId="3" fontId="20" fillId="33" borderId="10" xfId="0" applyNumberFormat="1" applyFont="1" applyFill="1" applyBorder="1" applyAlignment="1">
      <alignment/>
    </xf>
    <xf numFmtId="0" fontId="20" fillId="0" borderId="11" xfId="0" applyFont="1" applyBorder="1" applyAlignment="1">
      <alignment horizontal="left" wrapText="1" indent="2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left" wrapText="1" indent="2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 quotePrefix="1">
      <alignment horizontal="left" wrapText="1" indent="2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left" wrapText="1" indent="2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 indent="1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33" borderId="10" xfId="0" applyNumberFormat="1" applyFont="1" applyFill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3" fontId="20" fillId="33" borderId="10" xfId="0" applyNumberFormat="1" applyFont="1" applyFill="1" applyBorder="1" applyAlignment="1">
      <alignment/>
    </xf>
    <xf numFmtId="49" fontId="20" fillId="0" borderId="10" xfId="0" applyNumberFormat="1" applyFont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11" xfId="0" applyFont="1" applyBorder="1" applyAlignment="1">
      <alignment wrapText="1"/>
    </xf>
    <xf numFmtId="0" fontId="20" fillId="0" borderId="33" xfId="0" applyFont="1" applyBorder="1" applyAlignment="1">
      <alignment horizontal="left" wrapText="1" indent="2"/>
    </xf>
    <xf numFmtId="3" fontId="20" fillId="0" borderId="30" xfId="0" applyNumberFormat="1" applyFont="1" applyBorder="1" applyAlignment="1">
      <alignment/>
    </xf>
    <xf numFmtId="3" fontId="21" fillId="0" borderId="30" xfId="0" applyNumberFormat="1" applyFont="1" applyBorder="1" applyAlignment="1">
      <alignment wrapText="1"/>
    </xf>
    <xf numFmtId="0" fontId="20" fillId="0" borderId="11" xfId="0" applyFont="1" applyBorder="1" applyAlignment="1" quotePrefix="1">
      <alignment horizontal="left" vertical="top" wrapText="1" indent="2"/>
    </xf>
    <xf numFmtId="0" fontId="20" fillId="0" borderId="11" xfId="0" applyFont="1" applyBorder="1" applyAlignment="1">
      <alignment horizontal="left" vertical="top" wrapText="1" indent="2"/>
    </xf>
    <xf numFmtId="0" fontId="20" fillId="0" borderId="33" xfId="0" applyFont="1" applyBorder="1" applyAlignment="1">
      <alignment wrapText="1"/>
    </xf>
    <xf numFmtId="49" fontId="20" fillId="0" borderId="10" xfId="0" applyNumberFormat="1" applyFont="1" applyBorder="1" applyAlignment="1">
      <alignment horizontal="left"/>
    </xf>
    <xf numFmtId="3" fontId="20" fillId="0" borderId="14" xfId="0" applyNumberFormat="1" applyFont="1" applyBorder="1" applyAlignment="1">
      <alignment/>
    </xf>
    <xf numFmtId="49" fontId="20" fillId="0" borderId="30" xfId="0" applyNumberFormat="1" applyFont="1" applyBorder="1" applyAlignment="1">
      <alignment horizontal="left" wrapText="1"/>
    </xf>
    <xf numFmtId="49" fontId="20" fillId="0" borderId="34" xfId="0" applyNumberFormat="1" applyFont="1" applyBorder="1" applyAlignment="1">
      <alignment horizontal="left"/>
    </xf>
    <xf numFmtId="49" fontId="20" fillId="0" borderId="29" xfId="0" applyNumberFormat="1" applyFont="1" applyBorder="1" applyAlignment="1">
      <alignment horizontal="left"/>
    </xf>
    <xf numFmtId="0" fontId="20" fillId="0" borderId="29" xfId="0" applyFont="1" applyBorder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" fontId="20" fillId="35" borderId="0" xfId="0" applyNumberFormat="1" applyFont="1" applyFill="1" applyAlignment="1">
      <alignment/>
    </xf>
    <xf numFmtId="1" fontId="20" fillId="21" borderId="0" xfId="0" applyNumberFormat="1" applyFont="1" applyFill="1" applyAlignment="1">
      <alignment/>
    </xf>
    <xf numFmtId="1" fontId="20" fillId="36" borderId="0" xfId="0" applyNumberFormat="1" applyFont="1" applyFill="1" applyAlignment="1">
      <alignment/>
    </xf>
    <xf numFmtId="1" fontId="20" fillId="37" borderId="0" xfId="0" applyNumberFormat="1" applyFont="1" applyFill="1" applyAlignment="1">
      <alignment/>
    </xf>
    <xf numFmtId="1" fontId="20" fillId="0" borderId="35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7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20" fillId="0" borderId="35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7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4" fontId="1" fillId="33" borderId="12" xfId="0" applyNumberFormat="1" applyFont="1" applyFill="1" applyBorder="1" applyAlignment="1">
      <alignment horizontal="center" wrapText="1"/>
    </xf>
    <xf numFmtId="4" fontId="0" fillId="0" borderId="23" xfId="0" applyNumberFormat="1" applyBorder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49" fontId="1" fillId="38" borderId="35" xfId="0" applyNumberFormat="1" applyFont="1" applyFill="1" applyBorder="1" applyAlignment="1">
      <alignment horizontal="center" wrapText="1"/>
    </xf>
    <xf numFmtId="49" fontId="1" fillId="38" borderId="36" xfId="0" applyNumberFormat="1" applyFont="1" applyFill="1" applyBorder="1" applyAlignment="1">
      <alignment horizontal="center" wrapText="1"/>
    </xf>
    <xf numFmtId="49" fontId="1" fillId="38" borderId="37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49" fontId="20" fillId="0" borderId="38" xfId="0" applyNumberFormat="1" applyFont="1" applyBorder="1" applyAlignment="1">
      <alignment horizontal="left" wrapText="1"/>
    </xf>
    <xf numFmtId="1" fontId="20" fillId="35" borderId="39" xfId="0" applyNumberFormat="1" applyFont="1" applyFill="1" applyBorder="1" applyAlignment="1">
      <alignment/>
    </xf>
    <xf numFmtId="1" fontId="20" fillId="21" borderId="40" xfId="0" applyNumberFormat="1" applyFont="1" applyFill="1" applyBorder="1" applyAlignment="1">
      <alignment/>
    </xf>
    <xf numFmtId="1" fontId="20" fillId="21" borderId="41" xfId="0" applyNumberFormat="1" applyFont="1" applyFill="1" applyBorder="1" applyAlignment="1">
      <alignment/>
    </xf>
    <xf numFmtId="1" fontId="57" fillId="21" borderId="39" xfId="0" applyNumberFormat="1" applyFont="1" applyFill="1" applyBorder="1" applyAlignment="1">
      <alignment/>
    </xf>
    <xf numFmtId="1" fontId="57" fillId="0" borderId="35" xfId="0" applyNumberFormat="1" applyFont="1" applyBorder="1" applyAlignment="1">
      <alignment/>
    </xf>
    <xf numFmtId="1" fontId="57" fillId="21" borderId="41" xfId="0" applyNumberFormat="1" applyFont="1" applyFill="1" applyBorder="1" applyAlignment="1">
      <alignment/>
    </xf>
    <xf numFmtId="1" fontId="57" fillId="0" borderId="37" xfId="0" applyNumberFormat="1" applyFont="1" applyBorder="1" applyAlignment="1">
      <alignment/>
    </xf>
    <xf numFmtId="49" fontId="20" fillId="0" borderId="38" xfId="0" applyNumberFormat="1" applyFont="1" applyBorder="1" applyAlignment="1">
      <alignment horizontal="left" wrapText="1"/>
    </xf>
    <xf numFmtId="1" fontId="20" fillId="21" borderId="39" xfId="0" applyNumberFormat="1" applyFont="1" applyFill="1" applyBorder="1" applyAlignment="1">
      <alignment/>
    </xf>
    <xf numFmtId="3" fontId="20" fillId="39" borderId="10" xfId="0" applyNumberFormat="1" applyFont="1" applyFill="1" applyBorder="1" applyAlignment="1">
      <alignment/>
    </xf>
    <xf numFmtId="3" fontId="20" fillId="39" borderId="10" xfId="0" applyNumberFormat="1" applyFont="1" applyFill="1" applyBorder="1" applyAlignment="1">
      <alignment/>
    </xf>
    <xf numFmtId="1" fontId="20" fillId="39" borderId="0" xfId="0" applyNumberFormat="1" applyFont="1" applyFill="1" applyAlignment="1">
      <alignment/>
    </xf>
    <xf numFmtId="1" fontId="20" fillId="39" borderId="0" xfId="0" applyNumberFormat="1" applyFont="1" applyFill="1" applyAlignment="1">
      <alignment/>
    </xf>
    <xf numFmtId="1" fontId="1" fillId="39" borderId="0" xfId="0" applyNumberFormat="1" applyFont="1" applyFill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8"/>
  <sheetViews>
    <sheetView tabSelected="1" zoomScaleSheetLayoutView="100" zoomScalePageLayoutView="0" workbookViewId="0" topLeftCell="A25">
      <selection activeCell="K40" sqref="K40"/>
    </sheetView>
  </sheetViews>
  <sheetFormatPr defaultColWidth="9.140625" defaultRowHeight="12.75"/>
  <cols>
    <col min="1" max="1" width="54.00390625" style="14" customWidth="1"/>
    <col min="2" max="2" width="11.140625" style="0" customWidth="1"/>
    <col min="3" max="3" width="11.28125" style="0" customWidth="1"/>
    <col min="4" max="4" width="12.00390625" style="0" customWidth="1"/>
    <col min="5" max="5" width="11.140625" style="29" customWidth="1"/>
    <col min="6" max="6" width="13.57421875" style="0" customWidth="1"/>
    <col min="7" max="7" width="11.140625" style="0" customWidth="1"/>
    <col min="8" max="8" width="10.00390625" style="0" customWidth="1"/>
    <col min="9" max="9" width="13.28125" style="29" customWidth="1"/>
    <col min="10" max="10" width="13.57421875" style="119" customWidth="1"/>
    <col min="11" max="11" width="6.140625" style="112" customWidth="1"/>
  </cols>
  <sheetData>
    <row r="2" spans="1:3" ht="15.75">
      <c r="A2" s="135" t="s">
        <v>72</v>
      </c>
      <c r="B2" s="136"/>
      <c r="C2" s="111"/>
    </row>
    <row r="3" spans="1:3" ht="15">
      <c r="A3" s="137"/>
      <c r="B3" s="136"/>
      <c r="C3" s="111"/>
    </row>
    <row r="4" spans="1:3" ht="15">
      <c r="A4" s="136" t="s">
        <v>73</v>
      </c>
      <c r="B4" s="138" t="s">
        <v>159</v>
      </c>
      <c r="C4" s="111"/>
    </row>
    <row r="5" spans="1:3" ht="15">
      <c r="A5" s="136" t="s">
        <v>74</v>
      </c>
      <c r="B5" s="138" t="s">
        <v>158</v>
      </c>
      <c r="C5" s="111"/>
    </row>
    <row r="6" spans="1:3" ht="15">
      <c r="A6" s="136"/>
      <c r="B6" s="139"/>
      <c r="C6" s="111"/>
    </row>
    <row r="7" spans="1:9" ht="15">
      <c r="A7" s="136" t="s">
        <v>81</v>
      </c>
      <c r="B7" s="139" t="s">
        <v>82</v>
      </c>
      <c r="C7" s="111"/>
      <c r="G7" s="114" t="s">
        <v>107</v>
      </c>
      <c r="H7" s="114"/>
      <c r="I7" s="115"/>
    </row>
    <row r="8" spans="1:9" ht="15">
      <c r="A8" s="136" t="s">
        <v>83</v>
      </c>
      <c r="B8" s="139" t="s">
        <v>84</v>
      </c>
      <c r="C8" s="111"/>
      <c r="G8" s="114"/>
      <c r="H8" s="114"/>
      <c r="I8" s="115"/>
    </row>
    <row r="9" spans="1:9" ht="15">
      <c r="A9" s="136"/>
      <c r="B9" s="139"/>
      <c r="C9" s="111"/>
      <c r="G9" s="114"/>
      <c r="H9" s="114"/>
      <c r="I9" s="115"/>
    </row>
    <row r="10" spans="1:9" ht="15">
      <c r="A10" s="137" t="s">
        <v>80</v>
      </c>
      <c r="B10" s="139" t="s">
        <v>79</v>
      </c>
      <c r="C10" s="111"/>
      <c r="G10" s="114"/>
      <c r="H10" s="116" t="s">
        <v>108</v>
      </c>
      <c r="I10" s="115"/>
    </row>
    <row r="11" spans="1:9" ht="15">
      <c r="A11" s="137" t="s">
        <v>77</v>
      </c>
      <c r="B11" s="139" t="s">
        <v>78</v>
      </c>
      <c r="C11" s="111"/>
      <c r="G11" s="117" t="s">
        <v>86</v>
      </c>
      <c r="H11" s="116">
        <v>11.7258</v>
      </c>
      <c r="I11" s="118">
        <f>H11/H12</f>
        <v>0.7613513144994253</v>
      </c>
    </row>
    <row r="12" spans="1:9" ht="15">
      <c r="A12" s="137" t="s">
        <v>75</v>
      </c>
      <c r="B12" s="139" t="s">
        <v>76</v>
      </c>
      <c r="C12" s="111"/>
      <c r="G12" s="117" t="s">
        <v>85</v>
      </c>
      <c r="H12" s="116">
        <v>15.4013</v>
      </c>
      <c r="I12" s="118">
        <f>H12/H11</f>
        <v>1.3134540926845077</v>
      </c>
    </row>
    <row r="13" ht="13.5" thickBot="1"/>
    <row r="14" spans="1:11" ht="19.5" customHeight="1" thickBot="1">
      <c r="A14" s="62" t="s">
        <v>68</v>
      </c>
      <c r="B14" s="203" t="s">
        <v>148</v>
      </c>
      <c r="C14" s="204"/>
      <c r="D14" s="204"/>
      <c r="E14" s="205"/>
      <c r="F14" s="206" t="s">
        <v>142</v>
      </c>
      <c r="I14"/>
      <c r="J14"/>
      <c r="K14"/>
    </row>
    <row r="15" spans="1:11" ht="12.75" customHeight="1">
      <c r="A15" s="15" t="s">
        <v>49</v>
      </c>
      <c r="B15" s="7" t="s">
        <v>1</v>
      </c>
      <c r="C15" s="7" t="s">
        <v>2</v>
      </c>
      <c r="D15" s="199" t="s">
        <v>60</v>
      </c>
      <c r="E15" s="201" t="s">
        <v>50</v>
      </c>
      <c r="F15" s="207"/>
      <c r="I15"/>
      <c r="J15"/>
      <c r="K15"/>
    </row>
    <row r="16" spans="1:11" ht="13.5" thickBot="1">
      <c r="A16" s="56"/>
      <c r="B16" s="57"/>
      <c r="C16" s="57"/>
      <c r="D16" s="200"/>
      <c r="E16" s="202"/>
      <c r="F16" s="208"/>
      <c r="I16"/>
      <c r="J16"/>
      <c r="K16"/>
    </row>
    <row r="17" spans="1:11" ht="13.5" thickBot="1">
      <c r="A17" s="58"/>
      <c r="B17" s="59"/>
      <c r="C17" s="60"/>
      <c r="D17" s="60"/>
      <c r="E17" s="61"/>
      <c r="F17" s="119"/>
      <c r="G17" s="112"/>
      <c r="I17"/>
      <c r="J17"/>
      <c r="K17"/>
    </row>
    <row r="18" spans="1:11" ht="12.75">
      <c r="A18" s="41"/>
      <c r="B18" s="49"/>
      <c r="C18" s="66"/>
      <c r="D18" s="66"/>
      <c r="E18" s="67"/>
      <c r="F18" s="120"/>
      <c r="I18"/>
      <c r="J18"/>
      <c r="K18"/>
    </row>
    <row r="19" spans="1:11" ht="27">
      <c r="A19" s="12" t="s">
        <v>48</v>
      </c>
      <c r="B19" s="2"/>
      <c r="C19" s="68"/>
      <c r="D19" s="68"/>
      <c r="E19" s="64"/>
      <c r="F19" s="121"/>
      <c r="I19"/>
      <c r="J19"/>
      <c r="K19"/>
    </row>
    <row r="20" spans="1:11" ht="12.75">
      <c r="A20" s="28" t="s">
        <v>54</v>
      </c>
      <c r="B20" s="2" t="s">
        <v>3</v>
      </c>
      <c r="C20" s="68"/>
      <c r="D20" s="68"/>
      <c r="E20" s="64">
        <f>C20*D20</f>
        <v>0</v>
      </c>
      <c r="F20" s="122"/>
      <c r="I20"/>
      <c r="J20"/>
      <c r="K20"/>
    </row>
    <row r="21" spans="1:11" ht="25.5">
      <c r="A21" s="140" t="s">
        <v>136</v>
      </c>
      <c r="B21" s="141" t="s">
        <v>109</v>
      </c>
      <c r="C21" s="142" t="s">
        <v>138</v>
      </c>
      <c r="D21" s="143">
        <f>(20610+671)/$H$12</f>
        <v>1381.7664742586664</v>
      </c>
      <c r="E21" s="144">
        <f>55%*D21*12-34-16</f>
        <v>9069.6587301072</v>
      </c>
      <c r="F21" s="123"/>
      <c r="I21"/>
      <c r="J21"/>
      <c r="K21"/>
    </row>
    <row r="22" spans="1:11" ht="25.5">
      <c r="A22" s="28" t="s">
        <v>56</v>
      </c>
      <c r="B22" s="2" t="s">
        <v>3</v>
      </c>
      <c r="C22" s="68"/>
      <c r="D22" s="68"/>
      <c r="E22" s="64">
        <f>C22*D22</f>
        <v>0</v>
      </c>
      <c r="F22" s="121"/>
      <c r="I22"/>
      <c r="J22"/>
      <c r="K22"/>
    </row>
    <row r="23" spans="1:11" ht="25.5">
      <c r="A23" s="140" t="s">
        <v>137</v>
      </c>
      <c r="B23" s="141" t="s">
        <v>109</v>
      </c>
      <c r="C23" s="142" t="s">
        <v>139</v>
      </c>
      <c r="D23" s="143">
        <f>(13000+671)/$H$12</f>
        <v>887.6523410361463</v>
      </c>
      <c r="E23" s="144">
        <f>55%*D23*12</f>
        <v>5858.505450838566</v>
      </c>
      <c r="F23" s="123"/>
      <c r="I23"/>
      <c r="J23"/>
      <c r="K23"/>
    </row>
    <row r="24" spans="1:11" ht="25.5">
      <c r="A24" s="28" t="s">
        <v>52</v>
      </c>
      <c r="B24" s="2"/>
      <c r="C24" s="68"/>
      <c r="D24" s="68"/>
      <c r="E24" s="64">
        <f>C24*D24</f>
        <v>0</v>
      </c>
      <c r="F24" s="121"/>
      <c r="I24"/>
      <c r="J24"/>
      <c r="K24"/>
    </row>
    <row r="25" spans="1:11" ht="12.75">
      <c r="A25" s="28" t="s">
        <v>53</v>
      </c>
      <c r="B25" s="2" t="s">
        <v>3</v>
      </c>
      <c r="C25" s="68"/>
      <c r="D25" s="68"/>
      <c r="E25" s="64">
        <f>C25*D25</f>
        <v>0</v>
      </c>
      <c r="F25" s="121"/>
      <c r="I25"/>
      <c r="J25"/>
      <c r="K25"/>
    </row>
    <row r="26" spans="1:11" ht="12.75">
      <c r="A26" s="28" t="s">
        <v>55</v>
      </c>
      <c r="B26" s="2"/>
      <c r="C26" s="68"/>
      <c r="D26" s="68"/>
      <c r="E26" s="64">
        <f>C26*D26</f>
        <v>0</v>
      </c>
      <c r="F26" s="121"/>
      <c r="I26"/>
      <c r="J26"/>
      <c r="K26"/>
    </row>
    <row r="27" spans="1:11" ht="14.25">
      <c r="A27" s="12" t="s">
        <v>27</v>
      </c>
      <c r="B27" s="2"/>
      <c r="C27" s="68"/>
      <c r="D27" s="68"/>
      <c r="E27" s="64">
        <f>C27*D27</f>
        <v>0</v>
      </c>
      <c r="F27" s="121"/>
      <c r="I27"/>
      <c r="J27"/>
      <c r="K27"/>
    </row>
    <row r="28" spans="1:11" ht="12.75">
      <c r="A28" s="63" t="s">
        <v>31</v>
      </c>
      <c r="B28" s="2" t="s">
        <v>4</v>
      </c>
      <c r="C28" s="68"/>
      <c r="D28" s="68"/>
      <c r="E28" s="64">
        <f>C28*D28</f>
        <v>0</v>
      </c>
      <c r="F28" s="121"/>
      <c r="I28"/>
      <c r="J28"/>
      <c r="K28"/>
    </row>
    <row r="29" spans="1:7" s="146" customFormat="1" ht="13.5" thickBot="1">
      <c r="A29" s="145" t="s">
        <v>150</v>
      </c>
      <c r="B29" s="141" t="s">
        <v>141</v>
      </c>
      <c r="C29" s="146">
        <v>4</v>
      </c>
      <c r="D29" s="143">
        <f>211*4+17</f>
        <v>861</v>
      </c>
      <c r="E29" s="222">
        <f>D29*C29+224</f>
        <v>3668</v>
      </c>
      <c r="F29" s="147" t="s">
        <v>118</v>
      </c>
      <c r="G29" s="186">
        <f>E29/0.77</f>
        <v>4763.636363636364</v>
      </c>
    </row>
    <row r="30" spans="1:8" s="146" customFormat="1" ht="12.75">
      <c r="A30" s="154" t="s">
        <v>110</v>
      </c>
      <c r="B30" s="141" t="s">
        <v>141</v>
      </c>
      <c r="C30" s="143">
        <v>3</v>
      </c>
      <c r="D30" s="143">
        <f>(222*4+152)*0.777</f>
        <v>808.08</v>
      </c>
      <c r="E30" s="223">
        <f aca="true" t="shared" si="0" ref="E30:E37">C30*D30</f>
        <v>2424.2400000000002</v>
      </c>
      <c r="F30" s="212" t="s">
        <v>117</v>
      </c>
      <c r="G30" s="213">
        <f aca="true" t="shared" si="1" ref="G30:G55">E30/0.77</f>
        <v>3148.3636363636365</v>
      </c>
      <c r="H30" s="190">
        <f>G30</f>
        <v>3148.3636363636365</v>
      </c>
    </row>
    <row r="31" spans="1:8" s="146" customFormat="1" ht="12.75">
      <c r="A31" s="154" t="s">
        <v>113</v>
      </c>
      <c r="B31" s="141" t="s">
        <v>141</v>
      </c>
      <c r="C31" s="143">
        <v>3</v>
      </c>
      <c r="D31" s="143">
        <f>(226*5+152)*0.777</f>
        <v>996.114</v>
      </c>
      <c r="E31" s="223">
        <f t="shared" si="0"/>
        <v>2988.342</v>
      </c>
      <c r="F31" s="212" t="s">
        <v>116</v>
      </c>
      <c r="G31" s="214">
        <f t="shared" si="1"/>
        <v>3880.9636363636364</v>
      </c>
      <c r="H31" s="191">
        <f>G31</f>
        <v>3880.9636363636364</v>
      </c>
    </row>
    <row r="32" spans="1:9" s="146" customFormat="1" ht="13.5" thickBot="1">
      <c r="A32" s="154" t="s">
        <v>120</v>
      </c>
      <c r="B32" s="141" t="s">
        <v>141</v>
      </c>
      <c r="C32" s="143">
        <v>2</v>
      </c>
      <c r="D32" s="143">
        <f>(226*3+152)*0.777</f>
        <v>644.91</v>
      </c>
      <c r="E32" s="223">
        <f t="shared" si="0"/>
        <v>1289.82</v>
      </c>
      <c r="F32" s="212" t="s">
        <v>119</v>
      </c>
      <c r="G32" s="215">
        <f t="shared" si="1"/>
        <v>1675.090909090909</v>
      </c>
      <c r="H32" s="192">
        <f>G32</f>
        <v>1675.090909090909</v>
      </c>
      <c r="I32" s="224">
        <f>SUM(H30:H32)+G29</f>
        <v>13468.054545454546</v>
      </c>
    </row>
    <row r="33" spans="1:8" s="146" customFormat="1" ht="12.75">
      <c r="A33" s="154" t="s">
        <v>120</v>
      </c>
      <c r="B33" s="141" t="s">
        <v>141</v>
      </c>
      <c r="C33" s="143">
        <v>2</v>
      </c>
      <c r="D33" s="143">
        <f>(226*4+38*4)*0.777</f>
        <v>820.5120000000001</v>
      </c>
      <c r="E33" s="144">
        <f t="shared" si="0"/>
        <v>1641.0240000000001</v>
      </c>
      <c r="F33" s="212" t="s">
        <v>122</v>
      </c>
      <c r="G33" s="216">
        <f t="shared" si="1"/>
        <v>2131.2000000000003</v>
      </c>
      <c r="H33" s="217">
        <f>G33</f>
        <v>2131.2000000000003</v>
      </c>
    </row>
    <row r="34" spans="1:9" s="146" customFormat="1" ht="13.5" thickBot="1">
      <c r="A34" s="154" t="s">
        <v>113</v>
      </c>
      <c r="B34" s="141" t="s">
        <v>141</v>
      </c>
      <c r="C34" s="143">
        <v>3</v>
      </c>
      <c r="D34" s="143">
        <f>(226*10+38*4)*0.777</f>
        <v>1874.124</v>
      </c>
      <c r="E34" s="144">
        <f t="shared" si="0"/>
        <v>5622.372</v>
      </c>
      <c r="F34" s="212" t="s">
        <v>123</v>
      </c>
      <c r="G34" s="218">
        <f t="shared" si="1"/>
        <v>7301.781818181818</v>
      </c>
      <c r="H34" s="219">
        <f>G34</f>
        <v>7301.781818181818</v>
      </c>
      <c r="I34" s="185">
        <f>SUM(H33:H34)</f>
        <v>9432.98181818182</v>
      </c>
    </row>
    <row r="35" spans="1:7" s="146" customFormat="1" ht="12.75">
      <c r="A35" s="154" t="s">
        <v>124</v>
      </c>
      <c r="B35" s="141" t="s">
        <v>141</v>
      </c>
      <c r="C35" s="143">
        <v>5</v>
      </c>
      <c r="D35" s="143">
        <f>(10000-E52)/5</f>
        <v>1378.2</v>
      </c>
      <c r="E35" s="144">
        <f t="shared" si="0"/>
        <v>6891</v>
      </c>
      <c r="F35" s="147" t="s">
        <v>126</v>
      </c>
      <c r="G35" s="188">
        <f t="shared" si="1"/>
        <v>8949.350649350648</v>
      </c>
    </row>
    <row r="36" spans="1:7" s="146" customFormat="1" ht="12.75">
      <c r="A36" s="154" t="s">
        <v>114</v>
      </c>
      <c r="B36" s="141" t="s">
        <v>141</v>
      </c>
      <c r="C36" s="143">
        <v>4</v>
      </c>
      <c r="D36" s="143">
        <f>(222*4+152)*0.777</f>
        <v>808.08</v>
      </c>
      <c r="E36" s="144">
        <f t="shared" si="0"/>
        <v>3232.32</v>
      </c>
      <c r="F36" s="147" t="s">
        <v>128</v>
      </c>
      <c r="G36" s="188">
        <f t="shared" si="1"/>
        <v>4197.818181818182</v>
      </c>
    </row>
    <row r="37" spans="1:7" s="146" customFormat="1" ht="12.75">
      <c r="A37" s="154" t="s">
        <v>120</v>
      </c>
      <c r="B37" s="141" t="s">
        <v>141</v>
      </c>
      <c r="C37" s="143">
        <v>2</v>
      </c>
      <c r="D37" s="143">
        <f>(226*4+38*4-40)*0.777</f>
        <v>789.432</v>
      </c>
      <c r="E37" s="144">
        <f t="shared" si="0"/>
        <v>1578.864</v>
      </c>
      <c r="F37" s="147" t="s">
        <v>129</v>
      </c>
      <c r="G37" s="187">
        <f t="shared" si="1"/>
        <v>2050.4727272727273</v>
      </c>
    </row>
    <row r="38" spans="1:7" s="153" customFormat="1" ht="12.75">
      <c r="A38" s="156" t="s">
        <v>130</v>
      </c>
      <c r="B38" s="157" t="s">
        <v>141</v>
      </c>
      <c r="C38" s="153">
        <v>2</v>
      </c>
      <c r="D38" s="151">
        <f>1400-118+36/2</f>
        <v>1300</v>
      </c>
      <c r="E38" s="148">
        <f>D38*C38</f>
        <v>2600</v>
      </c>
      <c r="F38" s="152" t="s">
        <v>132</v>
      </c>
      <c r="G38" s="189">
        <f t="shared" si="1"/>
        <v>3376.6233766233768</v>
      </c>
    </row>
    <row r="39" spans="1:11" ht="12.75">
      <c r="A39" s="12" t="s">
        <v>32</v>
      </c>
      <c r="B39" s="2" t="s">
        <v>4</v>
      </c>
      <c r="C39" s="68"/>
      <c r="D39" s="68"/>
      <c r="E39" s="64">
        <f>C39*D39</f>
        <v>0</v>
      </c>
      <c r="F39" s="121"/>
      <c r="G39" s="185"/>
      <c r="K39"/>
    </row>
    <row r="40" spans="1:11" ht="12.75">
      <c r="A40" s="12" t="s">
        <v>26</v>
      </c>
      <c r="B40" s="2" t="s">
        <v>4</v>
      </c>
      <c r="C40" s="68"/>
      <c r="D40" s="68"/>
      <c r="E40" s="64">
        <f>C40*D40</f>
        <v>0</v>
      </c>
      <c r="F40" s="121"/>
      <c r="G40" s="185"/>
      <c r="I40" s="198" t="s">
        <v>161</v>
      </c>
      <c r="J40" s="226">
        <f>I32+I49</f>
        <v>19345.457142857143</v>
      </c>
      <c r="K40" s="197">
        <f>J40-14896</f>
        <v>4449.4571428571435</v>
      </c>
    </row>
    <row r="41" spans="1:11" ht="13.5" thickBot="1">
      <c r="A41" s="25" t="s">
        <v>57</v>
      </c>
      <c r="B41" s="26"/>
      <c r="C41" s="71"/>
      <c r="D41" s="72"/>
      <c r="E41" s="72">
        <f>SUM(E20:E40)</f>
        <v>46864.14618094577</v>
      </c>
      <c r="F41" s="26"/>
      <c r="G41" s="185"/>
      <c r="I41" s="198" t="s">
        <v>160</v>
      </c>
      <c r="J41" s="227">
        <f>I34+I51</f>
        <v>10583.345454545455</v>
      </c>
      <c r="K41"/>
    </row>
    <row r="42" spans="1:10" ht="13.5" thickBot="1">
      <c r="A42" s="50"/>
      <c r="B42" s="51"/>
      <c r="C42" s="86"/>
      <c r="D42" s="86"/>
      <c r="E42" s="86"/>
      <c r="F42" s="51"/>
      <c r="G42" s="185"/>
      <c r="H42" s="52"/>
      <c r="I42" s="53"/>
      <c r="J42" s="124"/>
    </row>
    <row r="43" spans="1:11" ht="14.25">
      <c r="A43" s="41" t="s">
        <v>28</v>
      </c>
      <c r="B43" s="49"/>
      <c r="C43" s="66"/>
      <c r="D43" s="66"/>
      <c r="E43" s="67"/>
      <c r="F43" s="120"/>
      <c r="G43" s="185"/>
      <c r="I43"/>
      <c r="J43"/>
      <c r="K43"/>
    </row>
    <row r="44" spans="1:11" ht="12.75">
      <c r="A44" s="16" t="s">
        <v>51</v>
      </c>
      <c r="B44" s="8" t="s">
        <v>5</v>
      </c>
      <c r="C44" s="69"/>
      <c r="D44" s="69"/>
      <c r="E44" s="64">
        <f aca="true" t="shared" si="2" ref="E44:E55">C44*D44</f>
        <v>0</v>
      </c>
      <c r="F44" s="125"/>
      <c r="G44" s="185"/>
      <c r="I44"/>
      <c r="J44"/>
      <c r="K44"/>
    </row>
    <row r="45" spans="1:7" s="153" customFormat="1" ht="11.25" customHeight="1">
      <c r="A45" s="149" t="s">
        <v>111</v>
      </c>
      <c r="B45" s="150" t="s">
        <v>5</v>
      </c>
      <c r="C45" s="151">
        <v>3</v>
      </c>
      <c r="D45" s="151">
        <v>600</v>
      </c>
      <c r="E45" s="222">
        <f t="shared" si="2"/>
        <v>1800</v>
      </c>
      <c r="F45" s="152" t="s">
        <v>117</v>
      </c>
      <c r="G45" s="186">
        <f t="shared" si="1"/>
        <v>2337.6623376623374</v>
      </c>
    </row>
    <row r="46" spans="1:8" s="153" customFormat="1" ht="11.25" customHeight="1" thickBot="1">
      <c r="A46" s="149" t="s">
        <v>149</v>
      </c>
      <c r="B46" s="150" t="s">
        <v>5</v>
      </c>
      <c r="C46" s="151">
        <v>1</v>
      </c>
      <c r="D46" s="151">
        <v>550</v>
      </c>
      <c r="E46" s="222">
        <f>C46*D46</f>
        <v>550</v>
      </c>
      <c r="F46" s="152" t="s">
        <v>117</v>
      </c>
      <c r="G46" s="186">
        <f t="shared" si="1"/>
        <v>714.2857142857142</v>
      </c>
      <c r="H46" s="193"/>
    </row>
    <row r="47" spans="1:8" s="153" customFormat="1" ht="12.75">
      <c r="A47" s="149" t="s">
        <v>112</v>
      </c>
      <c r="B47" s="150" t="s">
        <v>5</v>
      </c>
      <c r="C47" s="151">
        <v>3</v>
      </c>
      <c r="D47" s="151">
        <f>300*0.777</f>
        <v>233.1</v>
      </c>
      <c r="E47" s="222">
        <f t="shared" si="2"/>
        <v>699.3</v>
      </c>
      <c r="F47" s="220" t="s">
        <v>117</v>
      </c>
      <c r="G47" s="213">
        <f t="shared" si="1"/>
        <v>908.1818181818181</v>
      </c>
      <c r="H47" s="194">
        <f>G47</f>
        <v>908.1818181818181</v>
      </c>
    </row>
    <row r="48" spans="1:8" s="153" customFormat="1" ht="11.25" customHeight="1">
      <c r="A48" s="149" t="s">
        <v>115</v>
      </c>
      <c r="B48" s="150" t="s">
        <v>5</v>
      </c>
      <c r="C48" s="151">
        <v>3</v>
      </c>
      <c r="D48" s="151">
        <f>380*0.777</f>
        <v>295.26</v>
      </c>
      <c r="E48" s="222">
        <f t="shared" si="2"/>
        <v>885.78</v>
      </c>
      <c r="F48" s="220" t="s">
        <v>116</v>
      </c>
      <c r="G48" s="214">
        <f t="shared" si="1"/>
        <v>1150.3636363636363</v>
      </c>
      <c r="H48" s="195">
        <f>G48</f>
        <v>1150.3636363636363</v>
      </c>
    </row>
    <row r="49" spans="1:9" s="153" customFormat="1" ht="11.25" customHeight="1" thickBot="1">
      <c r="A49" s="149" t="s">
        <v>121</v>
      </c>
      <c r="B49" s="150" t="s">
        <v>5</v>
      </c>
      <c r="C49" s="151">
        <v>2</v>
      </c>
      <c r="D49" s="151">
        <f>380*0.777</f>
        <v>295.26</v>
      </c>
      <c r="E49" s="222">
        <f t="shared" si="2"/>
        <v>590.52</v>
      </c>
      <c r="F49" s="220" t="s">
        <v>119</v>
      </c>
      <c r="G49" s="215">
        <f t="shared" si="1"/>
        <v>766.9090909090909</v>
      </c>
      <c r="H49" s="196">
        <f>G49</f>
        <v>766.9090909090909</v>
      </c>
      <c r="I49" s="225">
        <f>SUM(H47:H49)+G45+G46</f>
        <v>5877.402597402597</v>
      </c>
    </row>
    <row r="50" spans="1:8" s="153" customFormat="1" ht="11.25" customHeight="1">
      <c r="A50" s="149" t="s">
        <v>121</v>
      </c>
      <c r="B50" s="150" t="s">
        <v>5</v>
      </c>
      <c r="C50" s="151">
        <v>2</v>
      </c>
      <c r="D50" s="151">
        <f>380*0.777</f>
        <v>295.26</v>
      </c>
      <c r="E50" s="148">
        <f t="shared" si="2"/>
        <v>590.52</v>
      </c>
      <c r="F50" s="220" t="s">
        <v>122</v>
      </c>
      <c r="G50" s="221">
        <f t="shared" si="1"/>
        <v>766.9090909090909</v>
      </c>
      <c r="H50" s="194">
        <f>G50</f>
        <v>766.9090909090909</v>
      </c>
    </row>
    <row r="51" spans="1:9" s="153" customFormat="1" ht="11.25" customHeight="1" thickBot="1">
      <c r="A51" s="149" t="s">
        <v>115</v>
      </c>
      <c r="B51" s="150" t="s">
        <v>5</v>
      </c>
      <c r="C51" s="151">
        <v>3</v>
      </c>
      <c r="D51" s="151">
        <f>380*0.777</f>
        <v>295.26</v>
      </c>
      <c r="E51" s="148">
        <f t="shared" si="2"/>
        <v>885.78</v>
      </c>
      <c r="F51" s="220" t="s">
        <v>123</v>
      </c>
      <c r="G51" s="215">
        <f t="shared" si="1"/>
        <v>1150.3636363636363</v>
      </c>
      <c r="H51" s="196">
        <f>G51</f>
        <v>1150.3636363636363</v>
      </c>
      <c r="I51" s="193">
        <f>H50:H51</f>
        <v>1150.3636363636363</v>
      </c>
    </row>
    <row r="52" spans="1:7" s="146" customFormat="1" ht="25.5">
      <c r="A52" s="154" t="s">
        <v>125</v>
      </c>
      <c r="B52" s="155" t="s">
        <v>5</v>
      </c>
      <c r="C52" s="143">
        <v>5</v>
      </c>
      <c r="D52" s="143">
        <v>621.8</v>
      </c>
      <c r="E52" s="144">
        <f t="shared" si="2"/>
        <v>3109</v>
      </c>
      <c r="F52" s="147" t="s">
        <v>126</v>
      </c>
      <c r="G52" s="188">
        <f t="shared" si="1"/>
        <v>4037.6623376623374</v>
      </c>
    </row>
    <row r="53" spans="1:7" s="153" customFormat="1" ht="12.75">
      <c r="A53" s="149" t="s">
        <v>127</v>
      </c>
      <c r="B53" s="150" t="s">
        <v>5</v>
      </c>
      <c r="C53" s="151">
        <v>4</v>
      </c>
      <c r="D53" s="151">
        <f>300*0.777</f>
        <v>233.1</v>
      </c>
      <c r="E53" s="148">
        <f t="shared" si="2"/>
        <v>932.4</v>
      </c>
      <c r="F53" s="152" t="s">
        <v>128</v>
      </c>
      <c r="G53" s="188">
        <f t="shared" si="1"/>
        <v>1210.9090909090908</v>
      </c>
    </row>
    <row r="54" spans="1:7" s="153" customFormat="1" ht="11.25" customHeight="1">
      <c r="A54" s="149" t="s">
        <v>121</v>
      </c>
      <c r="B54" s="150" t="s">
        <v>5</v>
      </c>
      <c r="C54" s="151">
        <v>2</v>
      </c>
      <c r="D54" s="151">
        <f>380*0.777</f>
        <v>295.26</v>
      </c>
      <c r="E54" s="148">
        <f t="shared" si="2"/>
        <v>590.52</v>
      </c>
      <c r="F54" s="152" t="s">
        <v>129</v>
      </c>
      <c r="G54" s="187">
        <f t="shared" si="1"/>
        <v>766.9090909090909</v>
      </c>
    </row>
    <row r="55" spans="1:7" s="153" customFormat="1" ht="11.25" customHeight="1">
      <c r="A55" s="149" t="s">
        <v>131</v>
      </c>
      <c r="B55" s="150" t="s">
        <v>5</v>
      </c>
      <c r="C55" s="151">
        <v>2</v>
      </c>
      <c r="D55" s="151">
        <v>700</v>
      </c>
      <c r="E55" s="148">
        <f t="shared" si="2"/>
        <v>1400</v>
      </c>
      <c r="F55" s="152" t="s">
        <v>132</v>
      </c>
      <c r="G55" s="189">
        <f t="shared" si="1"/>
        <v>1818.1818181818182</v>
      </c>
    </row>
    <row r="56" spans="1:6" s="153" customFormat="1" ht="12.75">
      <c r="A56" s="158" t="s">
        <v>151</v>
      </c>
      <c r="B56" s="150" t="s">
        <v>87</v>
      </c>
      <c r="C56" s="151">
        <v>1</v>
      </c>
      <c r="D56" s="151">
        <v>1000</v>
      </c>
      <c r="E56" s="148">
        <v>1000</v>
      </c>
      <c r="F56" s="152"/>
    </row>
    <row r="57" spans="1:11" ht="12.75">
      <c r="A57" s="16" t="s">
        <v>59</v>
      </c>
      <c r="B57" s="8"/>
      <c r="C57" s="69"/>
      <c r="D57" s="69"/>
      <c r="E57" s="64">
        <f>C57*D57</f>
        <v>0</v>
      </c>
      <c r="F57" s="125"/>
      <c r="I57"/>
      <c r="J57"/>
      <c r="K57"/>
    </row>
    <row r="58" spans="1:11" ht="13.5" thickBot="1">
      <c r="A58" s="25" t="s">
        <v>10</v>
      </c>
      <c r="B58" s="26"/>
      <c r="C58" s="71"/>
      <c r="D58" s="71"/>
      <c r="E58" s="72">
        <f>SUM(E44:E57)</f>
        <v>13033.820000000002</v>
      </c>
      <c r="F58" s="27"/>
      <c r="I58"/>
      <c r="J58"/>
      <c r="K58"/>
    </row>
    <row r="59" spans="1:10" ht="13.5" thickBot="1">
      <c r="A59" s="43"/>
      <c r="B59" s="44"/>
      <c r="C59" s="76"/>
      <c r="D59" s="76"/>
      <c r="E59" s="76"/>
      <c r="F59" s="44"/>
      <c r="G59" s="45"/>
      <c r="H59" s="45"/>
      <c r="I59" s="46"/>
      <c r="J59" s="127"/>
    </row>
    <row r="60" spans="1:11" ht="14.25">
      <c r="A60" s="41" t="s">
        <v>29</v>
      </c>
      <c r="B60" s="49"/>
      <c r="C60" s="66"/>
      <c r="D60" s="66"/>
      <c r="E60" s="67"/>
      <c r="F60" s="120"/>
      <c r="I60"/>
      <c r="J60"/>
      <c r="K60"/>
    </row>
    <row r="61" spans="1:11" ht="12.75">
      <c r="A61" s="16" t="s">
        <v>6</v>
      </c>
      <c r="C61" s="69"/>
      <c r="D61" s="69"/>
      <c r="E61" s="64">
        <f>C61*D61</f>
        <v>0</v>
      </c>
      <c r="F61" s="125"/>
      <c r="I61"/>
      <c r="J61"/>
      <c r="K61"/>
    </row>
    <row r="62" spans="1:11" ht="12.75">
      <c r="A62" s="113" t="s">
        <v>99</v>
      </c>
      <c r="B62" s="91" t="s">
        <v>7</v>
      </c>
      <c r="C62" s="69"/>
      <c r="D62" s="69"/>
      <c r="E62" s="107"/>
      <c r="F62" s="125"/>
      <c r="I62"/>
      <c r="J62"/>
      <c r="K62"/>
    </row>
    <row r="63" spans="1:6" s="153" customFormat="1" ht="12.75">
      <c r="A63" s="159" t="s">
        <v>89</v>
      </c>
      <c r="B63" s="160" t="s">
        <v>7</v>
      </c>
      <c r="C63" s="151">
        <v>1</v>
      </c>
      <c r="D63" s="151">
        <v>1000</v>
      </c>
      <c r="E63" s="148">
        <f>D63</f>
        <v>1000</v>
      </c>
      <c r="F63" s="152"/>
    </row>
    <row r="64" spans="1:11" ht="12.75">
      <c r="A64" s="106" t="s">
        <v>23</v>
      </c>
      <c r="B64" s="8"/>
      <c r="C64" s="69"/>
      <c r="D64" s="69"/>
      <c r="E64" s="64">
        <f>C64*D64</f>
        <v>0</v>
      </c>
      <c r="F64" s="125"/>
      <c r="I64"/>
      <c r="J64"/>
      <c r="K64"/>
    </row>
    <row r="65" spans="1:11" ht="12.75" hidden="1">
      <c r="A65" s="98" t="s">
        <v>95</v>
      </c>
      <c r="B65" s="94" t="s">
        <v>93</v>
      </c>
      <c r="C65" s="69"/>
      <c r="D65" s="69"/>
      <c r="E65" s="64"/>
      <c r="F65" s="125"/>
      <c r="I65"/>
      <c r="J65"/>
      <c r="K65"/>
    </row>
    <row r="66" spans="1:11" ht="12.75" hidden="1">
      <c r="A66" s="98" t="s">
        <v>96</v>
      </c>
      <c r="B66" s="94" t="s">
        <v>93</v>
      </c>
      <c r="C66" s="69"/>
      <c r="D66" s="69"/>
      <c r="E66" s="64"/>
      <c r="F66" s="125"/>
      <c r="I66"/>
      <c r="J66"/>
      <c r="K66"/>
    </row>
    <row r="67" spans="1:11" ht="12.75" hidden="1">
      <c r="A67" s="98" t="s">
        <v>97</v>
      </c>
      <c r="B67" s="94" t="s">
        <v>93</v>
      </c>
      <c r="C67" s="69"/>
      <c r="D67" s="69"/>
      <c r="E67" s="64"/>
      <c r="F67" s="125"/>
      <c r="I67"/>
      <c r="J67"/>
      <c r="K67"/>
    </row>
    <row r="68" spans="1:11" ht="12.75" hidden="1">
      <c r="A68" s="98" t="s">
        <v>98</v>
      </c>
      <c r="B68" s="94" t="s">
        <v>93</v>
      </c>
      <c r="C68" s="69"/>
      <c r="D68" s="69"/>
      <c r="E68" s="64"/>
      <c r="F68" s="125"/>
      <c r="I68"/>
      <c r="J68"/>
      <c r="K68"/>
    </row>
    <row r="69" spans="1:11" ht="12.75">
      <c r="A69" s="16" t="s">
        <v>37</v>
      </c>
      <c r="B69" s="8"/>
      <c r="C69" s="69"/>
      <c r="D69" s="69"/>
      <c r="E69" s="64">
        <f>C69*D69</f>
        <v>0</v>
      </c>
      <c r="F69" s="125"/>
      <c r="I69"/>
      <c r="J69"/>
      <c r="K69"/>
    </row>
    <row r="70" spans="1:11" ht="12.75">
      <c r="A70" s="16" t="s">
        <v>33</v>
      </c>
      <c r="B70" s="8"/>
      <c r="C70" s="69"/>
      <c r="D70" s="69"/>
      <c r="E70" s="64">
        <f>C70*D70</f>
        <v>0</v>
      </c>
      <c r="F70" s="125"/>
      <c r="I70"/>
      <c r="J70"/>
      <c r="K70"/>
    </row>
    <row r="71" spans="1:6" s="153" customFormat="1" ht="12.75">
      <c r="A71" s="149" t="s">
        <v>88</v>
      </c>
      <c r="B71" s="150" t="s">
        <v>87</v>
      </c>
      <c r="C71" s="151">
        <v>1</v>
      </c>
      <c r="D71" s="151">
        <v>500</v>
      </c>
      <c r="E71" s="148">
        <f>D71</f>
        <v>500</v>
      </c>
      <c r="F71" s="152"/>
    </row>
    <row r="72" spans="1:11" ht="12.75">
      <c r="A72" s="16" t="s">
        <v>34</v>
      </c>
      <c r="B72" s="8"/>
      <c r="C72" s="69"/>
      <c r="D72" s="69"/>
      <c r="E72" s="64">
        <f>C72*D72</f>
        <v>0</v>
      </c>
      <c r="F72" s="125"/>
      <c r="I72"/>
      <c r="J72"/>
      <c r="K72"/>
    </row>
    <row r="73" spans="1:11" ht="12.75" hidden="1">
      <c r="A73" s="95" t="s">
        <v>90</v>
      </c>
      <c r="B73" s="94" t="s">
        <v>91</v>
      </c>
      <c r="C73" s="70"/>
      <c r="D73" s="70"/>
      <c r="E73" s="93"/>
      <c r="F73" s="128"/>
      <c r="I73"/>
      <c r="J73"/>
      <c r="K73"/>
    </row>
    <row r="74" spans="1:11" ht="12.75" hidden="1">
      <c r="A74" s="95" t="s">
        <v>92</v>
      </c>
      <c r="B74" s="94" t="s">
        <v>93</v>
      </c>
      <c r="C74" s="70"/>
      <c r="D74" s="70"/>
      <c r="E74" s="93"/>
      <c r="F74" s="128"/>
      <c r="I74"/>
      <c r="J74"/>
      <c r="K74"/>
    </row>
    <row r="75" spans="1:11" ht="25.5" hidden="1">
      <c r="A75" s="98" t="s">
        <v>94</v>
      </c>
      <c r="B75" s="94" t="s">
        <v>91</v>
      </c>
      <c r="C75" s="70"/>
      <c r="D75" s="70"/>
      <c r="E75" s="93"/>
      <c r="F75" s="128"/>
      <c r="I75"/>
      <c r="J75"/>
      <c r="K75"/>
    </row>
    <row r="76" spans="1:11" ht="12.75">
      <c r="A76" s="96"/>
      <c r="B76" s="97"/>
      <c r="C76" s="70"/>
      <c r="D76" s="70"/>
      <c r="E76" s="93"/>
      <c r="F76" s="128"/>
      <c r="I76"/>
      <c r="J76"/>
      <c r="K76"/>
    </row>
    <row r="77" spans="1:11" ht="13.5" thickBot="1">
      <c r="A77" s="25" t="s">
        <v>8</v>
      </c>
      <c r="B77" s="26"/>
      <c r="C77" s="71"/>
      <c r="D77" s="71"/>
      <c r="E77" s="72">
        <f>SUM(E63:E72)</f>
        <v>1500</v>
      </c>
      <c r="F77" s="27"/>
      <c r="I77"/>
      <c r="J77"/>
      <c r="K77"/>
    </row>
    <row r="78" spans="1:10" ht="13.5" thickBot="1">
      <c r="A78" s="43"/>
      <c r="B78" s="44"/>
      <c r="C78" s="76"/>
      <c r="D78" s="76"/>
      <c r="E78" s="76"/>
      <c r="F78" s="44"/>
      <c r="G78" s="45"/>
      <c r="H78" s="45"/>
      <c r="I78" s="76"/>
      <c r="J78" s="127"/>
    </row>
    <row r="79" spans="1:11" ht="12.75">
      <c r="A79" s="41" t="s">
        <v>36</v>
      </c>
      <c r="B79" s="54"/>
      <c r="C79" s="87"/>
      <c r="D79" s="87"/>
      <c r="E79" s="75"/>
      <c r="F79" s="129"/>
      <c r="I79"/>
      <c r="J79"/>
      <c r="K79"/>
    </row>
    <row r="80" spans="1:11" ht="12.75">
      <c r="A80" s="12" t="s">
        <v>9</v>
      </c>
      <c r="B80" s="2" t="s">
        <v>3</v>
      </c>
      <c r="C80" s="68"/>
      <c r="D80" s="68"/>
      <c r="E80" s="64">
        <f>C80*D80</f>
        <v>0</v>
      </c>
      <c r="F80" s="121"/>
      <c r="I80"/>
      <c r="J80"/>
      <c r="K80"/>
    </row>
    <row r="81" spans="1:6" s="153" customFormat="1" ht="25.5">
      <c r="A81" s="161" t="s">
        <v>100</v>
      </c>
      <c r="B81" s="150" t="s">
        <v>91</v>
      </c>
      <c r="C81" s="162">
        <v>1</v>
      </c>
      <c r="D81" s="163">
        <v>1000</v>
      </c>
      <c r="E81" s="164">
        <f>C81*D81</f>
        <v>1000</v>
      </c>
      <c r="F81" s="152"/>
    </row>
    <row r="82" spans="1:11" ht="12.75">
      <c r="A82" s="12" t="s">
        <v>24</v>
      </c>
      <c r="B82" s="2" t="s">
        <v>3</v>
      </c>
      <c r="C82" s="68"/>
      <c r="D82" s="68"/>
      <c r="E82" s="64">
        <f>C82*D82</f>
        <v>0</v>
      </c>
      <c r="F82" s="121"/>
      <c r="I82"/>
      <c r="J82"/>
      <c r="K82"/>
    </row>
    <row r="83" spans="1:6" s="153" customFormat="1" ht="12.75">
      <c r="A83" s="158" t="s">
        <v>133</v>
      </c>
      <c r="B83" s="150" t="s">
        <v>3</v>
      </c>
      <c r="C83" s="151">
        <v>1</v>
      </c>
      <c r="D83" s="151">
        <v>500</v>
      </c>
      <c r="E83" s="148">
        <f>C83*D83</f>
        <v>500</v>
      </c>
      <c r="F83" s="152"/>
    </row>
    <row r="84" spans="1:6" s="170" customFormat="1" ht="12.75">
      <c r="A84" s="165" t="s">
        <v>147</v>
      </c>
      <c r="B84" s="166" t="s">
        <v>3</v>
      </c>
      <c r="C84" s="167">
        <v>1</v>
      </c>
      <c r="D84" s="167">
        <f>1000-500</f>
        <v>500</v>
      </c>
      <c r="E84" s="168">
        <f>C84*D84</f>
        <v>500</v>
      </c>
      <c r="F84" s="169"/>
    </row>
    <row r="85" spans="1:11" ht="12.75">
      <c r="A85" s="99"/>
      <c r="B85" s="100"/>
      <c r="C85" s="101"/>
      <c r="D85" s="101"/>
      <c r="E85" s="93"/>
      <c r="F85" s="130"/>
      <c r="I85"/>
      <c r="J85"/>
      <c r="K85"/>
    </row>
    <row r="86" spans="1:11" ht="13.5" thickBot="1">
      <c r="A86" s="25" t="s">
        <v>35</v>
      </c>
      <c r="B86" s="47"/>
      <c r="C86" s="88"/>
      <c r="D86" s="88"/>
      <c r="E86" s="72">
        <f>SUM(E80:E84)</f>
        <v>2000</v>
      </c>
      <c r="F86" s="48"/>
      <c r="I86"/>
      <c r="J86"/>
      <c r="K86"/>
    </row>
    <row r="88" ht="13.5" thickBot="1"/>
    <row r="89" spans="1:11" ht="19.5" customHeight="1" thickBot="1">
      <c r="A89" s="13" t="s">
        <v>69</v>
      </c>
      <c r="B89" s="203" t="s">
        <v>22</v>
      </c>
      <c r="C89" s="204"/>
      <c r="D89" s="204"/>
      <c r="E89" s="205"/>
      <c r="F89" s="206" t="s">
        <v>142</v>
      </c>
      <c r="I89"/>
      <c r="J89"/>
      <c r="K89"/>
    </row>
    <row r="90" spans="1:11" ht="12.75" customHeight="1">
      <c r="A90" s="15" t="s">
        <v>0</v>
      </c>
      <c r="B90" s="7" t="s">
        <v>1</v>
      </c>
      <c r="C90" s="7" t="s">
        <v>2</v>
      </c>
      <c r="D90" s="199" t="s">
        <v>60</v>
      </c>
      <c r="E90" s="201" t="s">
        <v>50</v>
      </c>
      <c r="F90" s="207"/>
      <c r="I90"/>
      <c r="J90"/>
      <c r="K90"/>
    </row>
    <row r="91" spans="1:11" ht="13.5" thickBot="1">
      <c r="A91" s="56"/>
      <c r="B91" s="57"/>
      <c r="C91" s="57"/>
      <c r="D91" s="200"/>
      <c r="E91" s="202"/>
      <c r="F91" s="208"/>
      <c r="I91"/>
      <c r="J91"/>
      <c r="K91"/>
    </row>
    <row r="92" spans="1:9" ht="13.5" thickBot="1">
      <c r="A92" s="43"/>
      <c r="B92" s="44"/>
      <c r="C92" s="45"/>
      <c r="D92" s="45"/>
      <c r="E92" s="46"/>
      <c r="F92" s="44"/>
      <c r="G92" s="45"/>
      <c r="H92" s="45"/>
      <c r="I92" s="46"/>
    </row>
    <row r="93" spans="1:11" ht="14.25">
      <c r="A93" s="41" t="s">
        <v>38</v>
      </c>
      <c r="B93" s="49"/>
      <c r="C93" s="66"/>
      <c r="D93" s="66"/>
      <c r="E93" s="67"/>
      <c r="F93" s="120"/>
      <c r="I93"/>
      <c r="J93"/>
      <c r="K93"/>
    </row>
    <row r="94" spans="1:11" ht="14.25">
      <c r="A94" s="12" t="s">
        <v>39</v>
      </c>
      <c r="B94" s="102"/>
      <c r="C94" s="85"/>
      <c r="D94" s="85"/>
      <c r="E94" s="65"/>
      <c r="F94" s="123"/>
      <c r="I94"/>
      <c r="J94"/>
      <c r="K94"/>
    </row>
    <row r="95" spans="1:6" s="146" customFormat="1" ht="25.5">
      <c r="A95" s="154" t="s">
        <v>135</v>
      </c>
      <c r="B95" s="155" t="s">
        <v>101</v>
      </c>
      <c r="C95" s="143">
        <v>1</v>
      </c>
      <c r="D95" s="143">
        <v>3000</v>
      </c>
      <c r="E95" s="144">
        <f>C95*D95</f>
        <v>3000</v>
      </c>
      <c r="F95" s="147"/>
    </row>
    <row r="96" spans="1:11" ht="14.25">
      <c r="A96" s="12" t="s">
        <v>40</v>
      </c>
      <c r="B96" s="2"/>
      <c r="C96" s="68"/>
      <c r="D96" s="68"/>
      <c r="E96" s="64">
        <f>C96*D96</f>
        <v>0</v>
      </c>
      <c r="F96" s="121"/>
      <c r="I96"/>
      <c r="J96"/>
      <c r="K96"/>
    </row>
    <row r="97" spans="1:6" s="170" customFormat="1" ht="13.5" thickBot="1">
      <c r="A97" s="174" t="s">
        <v>105</v>
      </c>
      <c r="B97" s="166"/>
      <c r="C97" s="167"/>
      <c r="D97" s="167"/>
      <c r="E97" s="168"/>
      <c r="F97" s="180"/>
    </row>
    <row r="98" spans="1:8" s="170" customFormat="1" ht="26.25" thickBot="1">
      <c r="A98" s="175" t="s">
        <v>152</v>
      </c>
      <c r="B98" s="166" t="s">
        <v>87</v>
      </c>
      <c r="C98" s="167">
        <v>1</v>
      </c>
      <c r="D98" s="167">
        <f>1500+6137+3000+8000</f>
        <v>18637</v>
      </c>
      <c r="E98" s="168">
        <f>D98</f>
        <v>18637</v>
      </c>
      <c r="F98" s="182" t="s">
        <v>153</v>
      </c>
      <c r="G98" s="183"/>
      <c r="H98" s="184"/>
    </row>
    <row r="99" spans="1:6" s="146" customFormat="1" ht="15" customHeight="1">
      <c r="A99" s="140" t="s">
        <v>154</v>
      </c>
      <c r="B99" s="155" t="s">
        <v>87</v>
      </c>
      <c r="C99" s="143">
        <v>1</v>
      </c>
      <c r="D99" s="143">
        <v>2500</v>
      </c>
      <c r="E99" s="144">
        <v>2500</v>
      </c>
      <c r="F99" s="181" t="s">
        <v>119</v>
      </c>
    </row>
    <row r="100" spans="1:6" s="146" customFormat="1" ht="25.5">
      <c r="A100" s="176" t="s">
        <v>140</v>
      </c>
      <c r="B100" s="155" t="s">
        <v>87</v>
      </c>
      <c r="C100" s="143">
        <v>1</v>
      </c>
      <c r="D100" s="143">
        <f>13000+7000</f>
        <v>20000</v>
      </c>
      <c r="E100" s="144">
        <f>D100</f>
        <v>20000</v>
      </c>
      <c r="F100" s="178" t="s">
        <v>143</v>
      </c>
    </row>
    <row r="101" spans="1:6" s="146" customFormat="1" ht="12.75">
      <c r="A101" s="140" t="s">
        <v>155</v>
      </c>
      <c r="B101" s="155" t="s">
        <v>87</v>
      </c>
      <c r="C101" s="143">
        <v>1</v>
      </c>
      <c r="D101" s="143">
        <v>2000</v>
      </c>
      <c r="E101" s="144">
        <f>D101</f>
        <v>2000</v>
      </c>
      <c r="F101" s="178" t="s">
        <v>144</v>
      </c>
    </row>
    <row r="102" spans="1:6" s="146" customFormat="1" ht="12.75">
      <c r="A102" s="140" t="s">
        <v>156</v>
      </c>
      <c r="B102" s="155" t="s">
        <v>87</v>
      </c>
      <c r="C102" s="143">
        <v>1</v>
      </c>
      <c r="D102" s="143">
        <v>10000</v>
      </c>
      <c r="E102" s="144">
        <f>D102</f>
        <v>10000</v>
      </c>
      <c r="F102" s="178" t="s">
        <v>145</v>
      </c>
    </row>
    <row r="103" spans="1:6" s="146" customFormat="1" ht="12.75">
      <c r="A103" s="140" t="s">
        <v>157</v>
      </c>
      <c r="B103" s="155" t="s">
        <v>87</v>
      </c>
      <c r="C103" s="143">
        <v>1</v>
      </c>
      <c r="D103" s="143">
        <f>10000+10000</f>
        <v>20000</v>
      </c>
      <c r="E103" s="144">
        <f>D103</f>
        <v>20000</v>
      </c>
      <c r="F103" s="178" t="s">
        <v>146</v>
      </c>
    </row>
    <row r="104" spans="1:11" ht="12.75">
      <c r="A104" s="24" t="s">
        <v>47</v>
      </c>
      <c r="B104" s="2"/>
      <c r="C104" s="68"/>
      <c r="D104" s="68"/>
      <c r="E104" s="64">
        <f aca="true" t="shared" si="3" ref="E104:E109">C104*D104</f>
        <v>0</v>
      </c>
      <c r="F104" s="121"/>
      <c r="I104"/>
      <c r="J104"/>
      <c r="K104"/>
    </row>
    <row r="105" spans="1:6" s="146" customFormat="1" ht="12.75">
      <c r="A105" s="171" t="s">
        <v>17</v>
      </c>
      <c r="B105" s="155" t="s">
        <v>87</v>
      </c>
      <c r="C105" s="143">
        <v>1</v>
      </c>
      <c r="D105" s="143">
        <v>10000</v>
      </c>
      <c r="E105" s="144">
        <f t="shared" si="3"/>
        <v>10000</v>
      </c>
      <c r="F105" s="147"/>
    </row>
    <row r="106" spans="1:6" s="153" customFormat="1" ht="12.75">
      <c r="A106" s="158" t="s">
        <v>18</v>
      </c>
      <c r="B106" s="150" t="s">
        <v>87</v>
      </c>
      <c r="C106" s="151">
        <v>1</v>
      </c>
      <c r="D106" s="151">
        <v>6000</v>
      </c>
      <c r="E106" s="148">
        <f t="shared" si="3"/>
        <v>6000</v>
      </c>
      <c r="F106" s="152"/>
    </row>
    <row r="107" spans="1:11" ht="12.75">
      <c r="A107" s="16" t="s">
        <v>19</v>
      </c>
      <c r="B107" s="8"/>
      <c r="C107" s="69"/>
      <c r="D107" s="69"/>
      <c r="E107" s="64">
        <f t="shared" si="3"/>
        <v>0</v>
      </c>
      <c r="F107" s="125"/>
      <c r="I107"/>
      <c r="J107"/>
      <c r="K107"/>
    </row>
    <row r="108" spans="1:11" ht="14.25">
      <c r="A108" s="16" t="s">
        <v>41</v>
      </c>
      <c r="B108" s="1"/>
      <c r="C108" s="1"/>
      <c r="D108" s="1"/>
      <c r="E108" s="64">
        <f t="shared" si="3"/>
        <v>0</v>
      </c>
      <c r="F108" s="125"/>
      <c r="I108"/>
      <c r="J108"/>
      <c r="K108"/>
    </row>
    <row r="109" spans="1:6" s="153" customFormat="1" ht="25.5">
      <c r="A109" s="149" t="s">
        <v>102</v>
      </c>
      <c r="B109" s="150" t="s">
        <v>87</v>
      </c>
      <c r="C109" s="151">
        <v>1</v>
      </c>
      <c r="D109" s="151">
        <v>6993</v>
      </c>
      <c r="E109" s="148">
        <f t="shared" si="3"/>
        <v>6993</v>
      </c>
      <c r="F109" s="152" t="s">
        <v>123</v>
      </c>
    </row>
    <row r="110" spans="1:11" ht="14.25">
      <c r="A110" s="16" t="s">
        <v>58</v>
      </c>
      <c r="B110" s="92"/>
      <c r="C110" s="89"/>
      <c r="D110" s="89"/>
      <c r="E110" s="90"/>
      <c r="F110" s="126"/>
      <c r="I110"/>
      <c r="J110"/>
      <c r="K110"/>
    </row>
    <row r="111" spans="1:6" s="153" customFormat="1" ht="12.75">
      <c r="A111" s="172" t="s">
        <v>103</v>
      </c>
      <c r="B111" s="150" t="s">
        <v>87</v>
      </c>
      <c r="C111" s="173">
        <v>1</v>
      </c>
      <c r="D111" s="173">
        <v>4000</v>
      </c>
      <c r="E111" s="148">
        <f>C111*D111</f>
        <v>4000</v>
      </c>
      <c r="F111" s="152"/>
    </row>
    <row r="112" spans="1:6" s="153" customFormat="1" ht="12.75">
      <c r="A112" s="172" t="s">
        <v>104</v>
      </c>
      <c r="B112" s="150" t="s">
        <v>87</v>
      </c>
      <c r="C112" s="173">
        <v>1</v>
      </c>
      <c r="D112" s="173">
        <v>4000</v>
      </c>
      <c r="E112" s="148">
        <f>C112*D112</f>
        <v>4000</v>
      </c>
      <c r="F112" s="152"/>
    </row>
    <row r="113" spans="1:6" s="153" customFormat="1" ht="25.5">
      <c r="A113" s="177" t="s">
        <v>134</v>
      </c>
      <c r="B113" s="150" t="s">
        <v>87</v>
      </c>
      <c r="C113" s="173"/>
      <c r="D113" s="173">
        <v>500</v>
      </c>
      <c r="E113" s="148">
        <f>D113</f>
        <v>500</v>
      </c>
      <c r="F113" s="152"/>
    </row>
    <row r="114" spans="1:11" ht="13.5" thickBot="1">
      <c r="A114" s="25" t="s">
        <v>20</v>
      </c>
      <c r="B114" s="26"/>
      <c r="C114" s="71"/>
      <c r="D114" s="71"/>
      <c r="E114" s="72">
        <f>SUM(E95:E113)</f>
        <v>107630</v>
      </c>
      <c r="F114" s="27"/>
      <c r="I114"/>
      <c r="J114"/>
      <c r="K114"/>
    </row>
    <row r="115" spans="3:9" ht="13.5" thickBot="1">
      <c r="C115" s="73"/>
      <c r="D115" s="73"/>
      <c r="E115" s="73"/>
      <c r="I115" s="73"/>
    </row>
    <row r="116" spans="1:11" ht="12.75">
      <c r="A116" s="41" t="s">
        <v>30</v>
      </c>
      <c r="B116" s="42"/>
      <c r="C116" s="74"/>
      <c r="D116" s="74"/>
      <c r="E116" s="75"/>
      <c r="F116" s="131"/>
      <c r="I116"/>
      <c r="J116"/>
      <c r="K116"/>
    </row>
    <row r="117" spans="1:6" s="30" customFormat="1" ht="12.75">
      <c r="A117" s="99"/>
      <c r="B117" s="103"/>
      <c r="C117" s="104"/>
      <c r="D117" s="104"/>
      <c r="E117" s="105"/>
      <c r="F117" s="132"/>
    </row>
    <row r="118" spans="1:11" ht="13.5" thickBot="1">
      <c r="A118" s="25" t="s">
        <v>21</v>
      </c>
      <c r="B118" s="26"/>
      <c r="C118" s="71"/>
      <c r="D118" s="71"/>
      <c r="E118" s="72">
        <f>SUM(E116:E117)</f>
        <v>0</v>
      </c>
      <c r="F118" s="27"/>
      <c r="I118"/>
      <c r="J118"/>
      <c r="K118"/>
    </row>
    <row r="119" spans="1:11" ht="13.5" thickBot="1">
      <c r="A119" s="43"/>
      <c r="B119" s="44"/>
      <c r="C119" s="76"/>
      <c r="D119" s="76"/>
      <c r="E119" s="76"/>
      <c r="F119" s="44"/>
      <c r="G119" s="45"/>
      <c r="H119" s="45"/>
      <c r="I119" s="76"/>
      <c r="J119" s="127"/>
      <c r="K119" s="127"/>
    </row>
    <row r="120" spans="1:11" ht="13.5" thickBot="1">
      <c r="A120" s="20" t="s">
        <v>42</v>
      </c>
      <c r="B120" s="10"/>
      <c r="C120" s="77"/>
      <c r="D120" s="78"/>
      <c r="E120" s="79">
        <f>SUM(E118,E114,E86,E77,E58,E41)</f>
        <v>171027.96618094578</v>
      </c>
      <c r="F120" s="10"/>
      <c r="I120"/>
      <c r="J120"/>
      <c r="K120"/>
    </row>
    <row r="121" spans="1:11" ht="13.5" thickBot="1">
      <c r="A121" s="43"/>
      <c r="B121" s="44"/>
      <c r="C121" s="76"/>
      <c r="D121" s="76"/>
      <c r="E121" s="76"/>
      <c r="F121" s="44"/>
      <c r="G121" s="45"/>
      <c r="H121" s="45"/>
      <c r="I121" s="76"/>
      <c r="J121" s="127"/>
      <c r="K121" s="127"/>
    </row>
    <row r="122" spans="1:11" ht="27" customHeight="1" thickBot="1">
      <c r="A122" s="55" t="s">
        <v>66</v>
      </c>
      <c r="B122" s="11"/>
      <c r="C122" s="80"/>
      <c r="D122" s="80"/>
      <c r="E122" s="81"/>
      <c r="F122" s="11"/>
      <c r="I122"/>
      <c r="J122"/>
      <c r="K122"/>
    </row>
    <row r="123" spans="1:11" ht="13.5" customHeight="1" thickBot="1">
      <c r="A123" s="43"/>
      <c r="B123" s="44"/>
      <c r="C123" s="76"/>
      <c r="D123" s="76"/>
      <c r="E123" s="76"/>
      <c r="F123" s="44"/>
      <c r="G123" s="45"/>
      <c r="H123" s="45"/>
      <c r="I123" s="76"/>
      <c r="J123" s="127"/>
      <c r="K123" s="127"/>
    </row>
    <row r="124" spans="1:11" ht="13.5" thickBot="1">
      <c r="A124" s="20" t="s">
        <v>43</v>
      </c>
      <c r="B124" s="9"/>
      <c r="C124" s="82"/>
      <c r="D124" s="83"/>
      <c r="E124" s="84">
        <f>SUM(E120:E122)</f>
        <v>171027.96618094578</v>
      </c>
      <c r="F124" s="9"/>
      <c r="I124"/>
      <c r="J124"/>
      <c r="K124"/>
    </row>
    <row r="125" spans="1:11" ht="13.5" thickBot="1">
      <c r="A125" s="43"/>
      <c r="B125" s="44"/>
      <c r="C125" s="76"/>
      <c r="D125" s="76"/>
      <c r="E125" s="76"/>
      <c r="F125" s="44"/>
      <c r="G125" s="45"/>
      <c r="H125" s="45"/>
      <c r="I125" s="76"/>
      <c r="J125" s="127"/>
      <c r="K125" s="127"/>
    </row>
    <row r="126" spans="1:11" ht="27" customHeight="1" thickBot="1">
      <c r="A126" s="55" t="s">
        <v>67</v>
      </c>
      <c r="B126" s="11"/>
      <c r="C126" s="80"/>
      <c r="D126" s="80"/>
      <c r="E126" s="179">
        <f>E124*7%</f>
        <v>11971.957632666206</v>
      </c>
      <c r="F126" s="134"/>
      <c r="I126"/>
      <c r="J126"/>
      <c r="K126"/>
    </row>
    <row r="127" spans="1:11" ht="13.5" customHeight="1" thickBot="1">
      <c r="A127" s="43"/>
      <c r="B127" s="44"/>
      <c r="C127" s="76"/>
      <c r="D127" s="76"/>
      <c r="E127" s="76"/>
      <c r="F127" s="44"/>
      <c r="G127" s="45"/>
      <c r="H127" s="45"/>
      <c r="I127" s="76"/>
      <c r="J127" s="127"/>
      <c r="K127" s="127"/>
    </row>
    <row r="128" spans="1:11" ht="13.5" thickBot="1">
      <c r="A128" s="20" t="s">
        <v>44</v>
      </c>
      <c r="B128" s="9"/>
      <c r="C128" s="82"/>
      <c r="D128" s="83"/>
      <c r="E128" s="84">
        <f>SUM(E124:E126)</f>
        <v>182999.92381361197</v>
      </c>
      <c r="F128" s="133"/>
      <c r="I128"/>
      <c r="J128"/>
      <c r="K128"/>
    </row>
  </sheetData>
  <sheetProtection/>
  <mergeCells count="8">
    <mergeCell ref="D15:D16"/>
    <mergeCell ref="E15:E16"/>
    <mergeCell ref="B89:E89"/>
    <mergeCell ref="B14:E14"/>
    <mergeCell ref="F89:F91"/>
    <mergeCell ref="D90:D91"/>
    <mergeCell ref="E90:E91"/>
    <mergeCell ref="F14:F16"/>
  </mergeCells>
  <printOptions/>
  <pageMargins left="0.1968503937007874" right="0.1968503937007874" top="0.1968503937007874" bottom="0.2362204724409449" header="0.3937007874015748" footer="0.1968503937007874"/>
  <pageSetup horizontalDpi="600" verticalDpi="600" orientation="portrait" paperSize="9" scale="75" r:id="rId1"/>
  <headerFooter alignWithMargins="0">
    <oddFooter>&amp;L&amp;"Times New Roman,Tučné"Annex 6b - Standard budget form&amp;R&amp;"Times New Roman,Tučné"&amp;P</oddFooter>
  </headerFooter>
  <rowBreaks count="1" manualBreakCount="1"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5.140625" style="0" customWidth="1"/>
    <col min="2" max="3" width="11.140625" style="0" customWidth="1"/>
  </cols>
  <sheetData>
    <row r="1" ht="15.75">
      <c r="A1" s="3" t="s">
        <v>46</v>
      </c>
    </row>
    <row r="2" ht="13.5" thickBot="1">
      <c r="A2" s="4"/>
    </row>
    <row r="3" spans="1:3" ht="12.75">
      <c r="A3" s="209" t="s">
        <v>62</v>
      </c>
      <c r="B3" s="34" t="s">
        <v>11</v>
      </c>
      <c r="C3" s="35" t="s">
        <v>12</v>
      </c>
    </row>
    <row r="4" spans="1:3" ht="14.25">
      <c r="A4" s="210"/>
      <c r="B4" s="33" t="s">
        <v>65</v>
      </c>
      <c r="C4" s="36" t="s">
        <v>16</v>
      </c>
    </row>
    <row r="5" spans="1:3" ht="13.5" thickBot="1">
      <c r="A5" s="211"/>
      <c r="B5" s="37"/>
      <c r="C5" s="38" t="s">
        <v>13</v>
      </c>
    </row>
    <row r="6" spans="1:4" s="5" customFormat="1" ht="12.75">
      <c r="A6" s="6" t="s">
        <v>106</v>
      </c>
      <c r="B6" s="17">
        <v>0</v>
      </c>
      <c r="C6" s="108">
        <v>0</v>
      </c>
      <c r="D6" s="22"/>
    </row>
    <row r="7" spans="1:4" s="5" customFormat="1" ht="12.75">
      <c r="A7" s="6"/>
      <c r="B7" s="17"/>
      <c r="C7" s="18"/>
      <c r="D7" s="22"/>
    </row>
    <row r="8" spans="1:3" s="5" customFormat="1" ht="12.75">
      <c r="A8" s="6" t="s">
        <v>61</v>
      </c>
      <c r="B8" s="107" t="e">
        <f>'1. Budget'!#REF!</f>
        <v>#REF!</v>
      </c>
      <c r="C8" s="108">
        <v>1</v>
      </c>
    </row>
    <row r="9" spans="1:3" s="5" customFormat="1" ht="12.75">
      <c r="A9" s="6"/>
      <c r="B9" s="17"/>
      <c r="C9" s="18"/>
    </row>
    <row r="10" spans="1:3" s="5" customFormat="1" ht="12.75">
      <c r="A10" s="6" t="s">
        <v>70</v>
      </c>
      <c r="B10" s="17"/>
      <c r="C10" s="18"/>
    </row>
    <row r="11" spans="1:3" s="5" customFormat="1" ht="12.75">
      <c r="A11" s="19" t="s">
        <v>63</v>
      </c>
      <c r="B11" s="17"/>
      <c r="C11" s="18"/>
    </row>
    <row r="12" spans="1:3" s="5" customFormat="1" ht="12.75">
      <c r="A12" s="19" t="s">
        <v>64</v>
      </c>
      <c r="B12" s="17"/>
      <c r="C12" s="18"/>
    </row>
    <row r="13" spans="1:3" s="5" customFormat="1" ht="12.75">
      <c r="A13" s="19"/>
      <c r="B13" s="17"/>
      <c r="C13" s="18"/>
    </row>
    <row r="14" spans="1:3" s="5" customFormat="1" ht="12.75">
      <c r="A14" s="6" t="s">
        <v>14</v>
      </c>
      <c r="B14" s="17">
        <v>0</v>
      </c>
      <c r="C14" s="108">
        <v>0</v>
      </c>
    </row>
    <row r="15" spans="1:3" s="5" customFormat="1" ht="12.75">
      <c r="A15" s="19" t="s">
        <v>63</v>
      </c>
      <c r="B15" s="17"/>
      <c r="C15" s="18"/>
    </row>
    <row r="16" spans="1:3" s="5" customFormat="1" ht="12.75">
      <c r="A16" s="19" t="s">
        <v>64</v>
      </c>
      <c r="B16" s="17"/>
      <c r="C16" s="18"/>
    </row>
    <row r="17" spans="1:3" s="5" customFormat="1" ht="12.75">
      <c r="A17" s="6"/>
      <c r="B17" s="17"/>
      <c r="C17" s="18"/>
    </row>
    <row r="18" spans="1:3" s="32" customFormat="1" ht="12.75">
      <c r="A18" s="39" t="s">
        <v>25</v>
      </c>
      <c r="B18" s="109" t="e">
        <f>B6+B8+B14</f>
        <v>#REF!</v>
      </c>
      <c r="C18" s="110">
        <f>C6+C8+C14</f>
        <v>1</v>
      </c>
    </row>
    <row r="19" spans="1:3" s="5" customFormat="1" ht="12.75">
      <c r="A19" s="6"/>
      <c r="B19" s="17"/>
      <c r="C19" s="18"/>
    </row>
    <row r="20" spans="1:3" s="5" customFormat="1" ht="12.75">
      <c r="A20" s="6" t="s">
        <v>45</v>
      </c>
      <c r="B20" s="17"/>
      <c r="C20" s="18"/>
    </row>
    <row r="21" spans="1:3" s="5" customFormat="1" ht="12.75">
      <c r="A21" s="6"/>
      <c r="B21" s="17"/>
      <c r="C21" s="18"/>
    </row>
    <row r="22" spans="1:4" s="5" customFormat="1" ht="12.75">
      <c r="A22" s="21" t="s">
        <v>71</v>
      </c>
      <c r="B22" s="17"/>
      <c r="C22" s="18"/>
      <c r="D22" s="22"/>
    </row>
    <row r="23" spans="1:3" s="22" customFormat="1" ht="12.75">
      <c r="A23" s="23"/>
      <c r="B23" s="17"/>
      <c r="C23" s="18"/>
    </row>
    <row r="24" spans="1:3" s="32" customFormat="1" ht="13.5" thickBot="1">
      <c r="A24" s="31" t="s">
        <v>15</v>
      </c>
      <c r="B24" s="40" t="e">
        <f>B18</f>
        <v>#REF!</v>
      </c>
      <c r="C24" s="110">
        <f>C18</f>
        <v>1</v>
      </c>
    </row>
  </sheetData>
  <sheetProtection/>
  <mergeCells count="1">
    <mergeCell ref="A3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Roman,Tučné"Annex 6b - Sources of funding&amp;R&amp;"Arial,Tučné"&amp;P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 Spataru</cp:lastModifiedBy>
  <cp:lastPrinted>2013-03-28T12:52:14Z</cp:lastPrinted>
  <dcterms:created xsi:type="dcterms:W3CDTF">2000-04-10T10:46:44Z</dcterms:created>
  <dcterms:modified xsi:type="dcterms:W3CDTF">2013-04-09T09:32:10Z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1099;#MDA|f0c452b5-3c0d-419c-976f-14028bd37c91;#1110;#Prodoc|099f975e-b4d9-4bba-a499-dbcc387c61ad;#1;#English|7f98b732-4b5b-4b70-ba90-a0eff09b5d2d;#763;#Draft|121d40a5-e62e-4d42-82e4-d6d12003de0a</vt:lpwstr>
  </property>
  <property fmtid="{D5CDD505-2E9C-101B-9397-08002B2CF9AE}" pid="6" name="_dlc_Doc">
    <vt:lpwstr>ATLASPDC-4-22583</vt:lpwstr>
  </property>
  <property fmtid="{D5CDD505-2E9C-101B-9397-08002B2CF9AE}" pid="7" name="_dlc_DocIdItemGu">
    <vt:lpwstr>94a4463b-dede-4bb0-b971-0eb2e20837cb</vt:lpwstr>
  </property>
  <property fmtid="{D5CDD505-2E9C-101B-9397-08002B2CF9AE}" pid="8" name="_dlc_DocIdU">
    <vt:lpwstr>https://info.undp.org/docs/pdc/_layouts/DocIdRedir.aspx?ID=ATLASPDC-4-22583, ATLASPDC-4-22583</vt:lpwstr>
  </property>
  <property fmtid="{D5CDD505-2E9C-101B-9397-08002B2CF9AE}" pid="9" name="UN Languag">
    <vt:lpwstr>1;#English|7f98b732-4b5b-4b70-ba90-a0eff09b5d2d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228;#Prodoc|5f41516e-5ee3-43b6-82ea-9b89532838d0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MDA|f0c452b5-3c0d-419c-976f-14028bd37c91</vt:lpwstr>
  </property>
  <property fmtid="{D5CDD505-2E9C-101B-9397-08002B2CF9AE}" pid="15" name="Operating Uni">
    <vt:lpwstr>1099;#MDA|f0c452b5-3c0d-419c-976f-14028bd37c91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Prodoc|099f975e-b4d9-4bba-a499-dbcc387c61ad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2014-10-10T12:00:00Z</vt:lpwstr>
  </property>
  <property fmtid="{D5CDD505-2E9C-101B-9397-08002B2CF9AE}" pid="32" name="UNDPCountryTaxHTFiel">
    <vt:lpwstr/>
  </property>
  <property fmtid="{D5CDD505-2E9C-101B-9397-08002B2CF9AE}" pid="33" name="Atlas Document Ty">
    <vt:lpwstr>1110;#Prodoc|099f975e-b4d9-4bba-a499-dbcc387c61ad</vt:lpwstr>
  </property>
  <property fmtid="{D5CDD505-2E9C-101B-9397-08002B2CF9AE}" pid="34" name="UndpOUCo">
    <vt:lpwstr/>
  </property>
  <property fmtid="{D5CDD505-2E9C-101B-9397-08002B2CF9AE}" pid="35" name="UndpProject">
    <vt:lpwstr>00047658</vt:lpwstr>
  </property>
  <property fmtid="{D5CDD505-2E9C-101B-9397-08002B2CF9AE}" pid="36" name="UndpDocStat">
    <vt:lpwstr>Final</vt:lpwstr>
  </property>
  <property fmtid="{D5CDD505-2E9C-101B-9397-08002B2CF9AE}" pid="37" name="Outcom">
    <vt:lpwstr/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Corina Oprea</vt:lpwstr>
  </property>
  <property fmtid="{D5CDD505-2E9C-101B-9397-08002B2CF9AE}" pid="48" name="display_urn:schemas-microsoft-com:office:office#Auth">
    <vt:lpwstr>Liudmila Iachim</vt:lpwstr>
  </property>
</Properties>
</file>